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kihirano\Desktop\あおもり発の積雪寒冷地型\【あおもり発の積雪寒冷地型住宅最適化プロジェクト】申請マニュアル\"/>
    </mc:Choice>
  </mc:AlternateContent>
  <xr:revisionPtr revIDLastSave="0" documentId="13_ncr:1_{08E1C2BE-70F3-4466-B003-7A515836AD2F}" xr6:coauthVersionLast="47" xr6:coauthVersionMax="47" xr10:uidLastSave="{00000000-0000-0000-0000-000000000000}"/>
  <bookViews>
    <workbookView xWindow="-108" yWindow="-108" windowWidth="23256" windowHeight="13896" tabRatio="925" firstSheet="2" activeTab="2" xr2:uid="{00000000-000D-0000-FFFF-FFFF00000000}"/>
  </bookViews>
  <sheets>
    <sheet name="CO2計算 (旧)" sheetId="34" state="hidden" r:id="rId1"/>
    <sheet name="クレジットlccm" sheetId="37" state="hidden" r:id="rId2"/>
    <sheet name="メイン" sheetId="7" r:id="rId3"/>
    <sheet name="結果（2-3レーダー）" sheetId="20" r:id="rId4"/>
    <sheet name="結果 (2-3SDGs)" sheetId="38" r:id="rId5"/>
    <sheet name="配慮" sheetId="14" r:id="rId6"/>
    <sheet name="電気排出係数" sheetId="45" r:id="rId7"/>
    <sheet name="スコア" sheetId="8" r:id="rId8"/>
    <sheet name="重み" sheetId="9" r:id="rId9"/>
    <sheet name="採点Q1" sheetId="12" r:id="rId10"/>
    <sheet name="採点Q2" sheetId="2" r:id="rId11"/>
    <sheet name="採点Q3" sheetId="16" r:id="rId12"/>
    <sheet name="採点LR1" sheetId="3" r:id="rId13"/>
    <sheet name="採点LR2" sheetId="4" r:id="rId14"/>
    <sheet name="判定" sheetId="41" state="hidden" r:id="rId15"/>
    <sheet name="採点LR3" sheetId="6" r:id="rId16"/>
    <sheet name="CO2計算" sheetId="42" r:id="rId17"/>
    <sheet name="CO2データ" sheetId="43" r:id="rId18"/>
    <sheet name="建築環境SDGs" sheetId="39" r:id="rId19"/>
    <sheet name="CO2独自計算" sheetId="27" r:id="rId20"/>
    <sheet name="クレジット" sheetId="10" r:id="rId21"/>
    <sheet name="クレジットAH" sheetId="47" state="hidden" r:id="rId22"/>
  </sheets>
  <definedNames>
    <definedName name="_xlnm._FilterDatabase" localSheetId="7" hidden="1">スコア!$A$7:$AA$50</definedName>
    <definedName name="_xlnm._FilterDatabase" localSheetId="9" hidden="1">採点Q1!$7:$7</definedName>
    <definedName name="_xlnm._FilterDatabase" localSheetId="8" hidden="1">重み!$A$8:$BG$75</definedName>
    <definedName name="_xlnm.Print_Area" localSheetId="17">CO2データ!$A$1:$R$282</definedName>
    <definedName name="_xlnm.Print_Area" localSheetId="16">CO2計算!$A$1:$Q$94</definedName>
    <definedName name="_xlnm.Print_Area" localSheetId="0">'CO2計算 (旧)'!$A$1:$Q$82</definedName>
    <definedName name="_xlnm.Print_Area" localSheetId="20">クレジット!$A$1:$S$37</definedName>
    <definedName name="_xlnm.Print_Area" localSheetId="21">クレジットAH!$A$1:$S$37</definedName>
    <definedName name="_xlnm.Print_Area" localSheetId="1">クレジットlccm!$A$1:$S$37</definedName>
    <definedName name="_xlnm.Print_Area" localSheetId="7">スコア!$A$1:$R$104</definedName>
    <definedName name="_xlnm.Print_Area" localSheetId="2">メイン!$A$1:$F$37</definedName>
    <definedName name="_xlnm.Print_Area" localSheetId="4">'結果 (2-3SDGs)'!$B$1:$P$75</definedName>
    <definedName name="_xlnm.Print_Area" localSheetId="3">'結果（2-3レーダー）'!$A$1:$P$70</definedName>
    <definedName name="_xlnm.Print_Area" localSheetId="18">建築環境SDGs!$B$1:$AE$116</definedName>
    <definedName name="_xlnm.Print_Area" localSheetId="12">採点LR1!$A$1:$N$150</definedName>
    <definedName name="_xlnm.Print_Area" localSheetId="13">採点LR2!$A$1:$N$182</definedName>
    <definedName name="_xlnm.Print_Area" localSheetId="15">採点LR3!$A$1:$N$116</definedName>
    <definedName name="_xlnm.Print_Area" localSheetId="9">採点Q1!$A$1:$N$185</definedName>
    <definedName name="_xlnm.Print_Area" localSheetId="10">採点Q2!$A$1:$N$264</definedName>
    <definedName name="_xlnm.Print_Area" localSheetId="11">採点Q3!$A$1:$O$101</definedName>
    <definedName name="_xlnm.Print_Area" localSheetId="8">重み!$A$2:$BF$104</definedName>
    <definedName name="_xlnm.Print_Area" localSheetId="14">判定!$A$1:$L$81</definedName>
    <definedName name="_xlnm.Print_Titles" localSheetId="16">CO2計算!$1:$4</definedName>
    <definedName name="_xlnm.Print_Titles" localSheetId="0">'CO2計算 (旧)'!$1:$4</definedName>
    <definedName name="_xlnm.Print_Titles" localSheetId="7">スコア!$2:$4</definedName>
    <definedName name="_xlnm.Print_Titles" localSheetId="18">建築環境SDGs!$6:$7</definedName>
    <definedName name="_xlnm.Print_Titles" localSheetId="8">重み!$5:$6</definedName>
    <definedName name="SDGsグラフ">INDIRECT('結果 (2-3SDGs)'!#REF!)</definedName>
    <definedName name="Z_047384A4_E844_4BB4_B522_1CE13C4699E4_.wvu.Cols" localSheetId="19" hidden="1">CO2独自計算!$K:$IV</definedName>
    <definedName name="Z_047384A4_E844_4BB4_B522_1CE13C4699E4_.wvu.Rows" localSheetId="19" hidden="1">CO2独自計算!$25:$65537,CO2独自計算!#REF!</definedName>
    <definedName name="非表示">'結果 (2-3SDGs)'!#REF!</definedName>
    <definedName name="表示">'結果 (2-3SDGs)'!#REF!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9" i="42" l="1"/>
  <c r="G84" i="42"/>
  <c r="L37" i="4"/>
  <c r="L22" i="4"/>
  <c r="F21" i="42" l="1"/>
  <c r="L234" i="2" l="1"/>
  <c r="C11" i="7" l="1"/>
  <c r="K224" i="43"/>
  <c r="L35" i="6" l="1"/>
  <c r="L36" i="6"/>
  <c r="L37" i="6"/>
  <c r="L34" i="6"/>
  <c r="L29" i="6"/>
  <c r="L30" i="6"/>
  <c r="L31" i="6"/>
  <c r="L28" i="6"/>
  <c r="L21" i="6"/>
  <c r="L22" i="6"/>
  <c r="L23" i="6"/>
  <c r="L24" i="6"/>
  <c r="L25" i="6"/>
  <c r="L20" i="6"/>
  <c r="K9" i="38"/>
  <c r="K9" i="20"/>
  <c r="D44" i="7"/>
  <c r="E42" i="7"/>
  <c r="J85" i="42" l="1"/>
  <c r="J20" i="6" l="1"/>
  <c r="J34" i="6"/>
  <c r="J37" i="6"/>
  <c r="J36" i="6"/>
  <c r="J35" i="6"/>
  <c r="J31" i="6"/>
  <c r="J30" i="6"/>
  <c r="J29" i="6"/>
  <c r="J28" i="6"/>
  <c r="J25" i="6"/>
  <c r="J24" i="6"/>
  <c r="J23" i="6"/>
  <c r="J22" i="6"/>
  <c r="J21" i="6"/>
  <c r="G61" i="3"/>
  <c r="L61" i="3" s="1"/>
  <c r="B71" i="9"/>
  <c r="B23" i="9"/>
  <c r="H42" i="3"/>
  <c r="Q45" i="3"/>
  <c r="P45" i="3" s="1"/>
  <c r="S58" i="8"/>
  <c r="S49" i="8"/>
  <c r="AH48" i="9"/>
  <c r="S45" i="8"/>
  <c r="S43" i="8"/>
  <c r="H55" i="8"/>
  <c r="H53" i="8"/>
  <c r="H39" i="8"/>
  <c r="H56" i="8"/>
  <c r="H49" i="8"/>
  <c r="H48" i="8"/>
  <c r="H45" i="8"/>
  <c r="H43" i="8"/>
  <c r="H59" i="8"/>
  <c r="H57" i="8"/>
  <c r="H58" i="8"/>
  <c r="H28" i="8"/>
  <c r="AH58" i="9"/>
  <c r="AH55" i="9"/>
  <c r="AH53" i="9"/>
  <c r="AH29" i="9"/>
  <c r="S29" i="8"/>
  <c r="F77" i="6"/>
  <c r="D63" i="6" s="1"/>
  <c r="Q76" i="6"/>
  <c r="Q74" i="6"/>
  <c r="Q75" i="6"/>
  <c r="Q72" i="6"/>
  <c r="Q73" i="6"/>
  <c r="Q71" i="6"/>
  <c r="F84" i="3"/>
  <c r="E78" i="3" s="1"/>
  <c r="Q82" i="3"/>
  <c r="Q81" i="3"/>
  <c r="Q80" i="3"/>
  <c r="Q79" i="3"/>
  <c r="D55" i="3"/>
  <c r="D54" i="3"/>
  <c r="D53" i="3"/>
  <c r="D52" i="3"/>
  <c r="D51" i="3"/>
  <c r="U91" i="3"/>
  <c r="U90" i="3"/>
  <c r="P90" i="3"/>
  <c r="U89" i="3"/>
  <c r="P89" i="3"/>
  <c r="U88" i="3"/>
  <c r="P88" i="3"/>
  <c r="U87" i="3"/>
  <c r="U86" i="3"/>
  <c r="P86" i="3"/>
  <c r="J117" i="16"/>
  <c r="H117" i="16"/>
  <c r="D207" i="2"/>
  <c r="D206" i="2"/>
  <c r="D205" i="2"/>
  <c r="D204" i="2"/>
  <c r="D203" i="2"/>
  <c r="D270" i="2"/>
  <c r="D269" i="2"/>
  <c r="D268" i="2"/>
  <c r="D267" i="2"/>
  <c r="D266" i="2"/>
  <c r="D262" i="2"/>
  <c r="D261" i="2"/>
  <c r="D260" i="2"/>
  <c r="D259" i="2"/>
  <c r="D258" i="2"/>
  <c r="F117" i="16" l="1"/>
  <c r="L213" i="2"/>
  <c r="U208" i="2"/>
  <c r="U207" i="2"/>
  <c r="U206" i="2"/>
  <c r="P206" i="2"/>
  <c r="U205" i="2"/>
  <c r="P205" i="2"/>
  <c r="U204" i="2"/>
  <c r="P204" i="2"/>
  <c r="U203" i="2"/>
  <c r="F297" i="2"/>
  <c r="E282" i="2" s="1"/>
  <c r="D275" i="2" s="1"/>
  <c r="S59" i="8" s="1"/>
  <c r="M59" i="8" s="1"/>
  <c r="K59" i="9" s="1"/>
  <c r="U281" i="2"/>
  <c r="U280" i="2"/>
  <c r="U279" i="2"/>
  <c r="U278" i="2"/>
  <c r="U277" i="2"/>
  <c r="U276" i="2"/>
  <c r="X274" i="2"/>
  <c r="W274" i="2"/>
  <c r="V274" i="2"/>
  <c r="U274" i="2"/>
  <c r="T274" i="2"/>
  <c r="S274" i="2"/>
  <c r="R274" i="2"/>
  <c r="Q274" i="2"/>
  <c r="P274" i="2"/>
  <c r="O274" i="2"/>
  <c r="U270" i="2"/>
  <c r="P270" i="2"/>
  <c r="U269" i="2"/>
  <c r="P269" i="2"/>
  <c r="U268" i="2"/>
  <c r="P268" i="2"/>
  <c r="U267" i="2"/>
  <c r="U266" i="2"/>
  <c r="P266" i="2"/>
  <c r="H54" i="8"/>
  <c r="H52" i="8"/>
  <c r="L251" i="2"/>
  <c r="D240" i="2" s="1"/>
  <c r="S56" i="8" s="1"/>
  <c r="M56" i="8" s="1"/>
  <c r="K56" i="9" s="1"/>
  <c r="U247" i="2"/>
  <c r="U246" i="2"/>
  <c r="P246" i="2"/>
  <c r="D246" i="2"/>
  <c r="U245" i="2"/>
  <c r="P245" i="2"/>
  <c r="D245" i="2"/>
  <c r="U244" i="2"/>
  <c r="P244" i="2"/>
  <c r="D244" i="2"/>
  <c r="U243" i="2"/>
  <c r="P243" i="2"/>
  <c r="D243" i="2"/>
  <c r="U242" i="2"/>
  <c r="D242" i="2"/>
  <c r="X240" i="2"/>
  <c r="W240" i="2"/>
  <c r="V240" i="2"/>
  <c r="U240" i="2"/>
  <c r="T240" i="2"/>
  <c r="S240" i="2"/>
  <c r="R240" i="2"/>
  <c r="Q240" i="2"/>
  <c r="O240" i="2"/>
  <c r="D220" i="2"/>
  <c r="S55" i="8" s="1"/>
  <c r="M55" i="8" s="1"/>
  <c r="K55" i="9" s="1"/>
  <c r="P148" i="2"/>
  <c r="P147" i="2"/>
  <c r="P146" i="2"/>
  <c r="X142" i="2"/>
  <c r="W142" i="2"/>
  <c r="V142" i="2"/>
  <c r="U142" i="2"/>
  <c r="T142" i="2"/>
  <c r="S142" i="2"/>
  <c r="R142" i="2"/>
  <c r="Q142" i="2"/>
  <c r="P142" i="2"/>
  <c r="O142" i="2"/>
  <c r="U169" i="2"/>
  <c r="P169" i="2"/>
  <c r="D169" i="2"/>
  <c r="U168" i="2"/>
  <c r="P168" i="2"/>
  <c r="D168" i="2"/>
  <c r="U167" i="2"/>
  <c r="P167" i="2"/>
  <c r="D167" i="2"/>
  <c r="U166" i="2"/>
  <c r="D166" i="2"/>
  <c r="U165" i="2"/>
  <c r="D165" i="2"/>
  <c r="X163" i="2"/>
  <c r="W163" i="2"/>
  <c r="V163" i="2"/>
  <c r="U163" i="2"/>
  <c r="T163" i="2"/>
  <c r="S163" i="2"/>
  <c r="R163" i="2"/>
  <c r="Q163" i="2"/>
  <c r="P163" i="2"/>
  <c r="O163" i="2"/>
  <c r="F159" i="2"/>
  <c r="D143" i="2" s="1"/>
  <c r="U148" i="2"/>
  <c r="U147" i="2"/>
  <c r="U146" i="2"/>
  <c r="U145" i="2"/>
  <c r="U144" i="2"/>
  <c r="O174" i="2"/>
  <c r="V174" i="2" s="1"/>
  <c r="P174" i="2"/>
  <c r="W174" i="2" s="1"/>
  <c r="Q174" i="2"/>
  <c r="X174" i="2" s="1"/>
  <c r="R174" i="2"/>
  <c r="Y174" i="2" s="1"/>
  <c r="S174" i="2"/>
  <c r="U174" i="2"/>
  <c r="P119" i="2"/>
  <c r="D119" i="2"/>
  <c r="P118" i="2"/>
  <c r="D118" i="2"/>
  <c r="P117" i="2"/>
  <c r="D117" i="2"/>
  <c r="D116" i="2"/>
  <c r="D115" i="2"/>
  <c r="S113" i="2"/>
  <c r="R113" i="2"/>
  <c r="P99" i="2"/>
  <c r="D99" i="2"/>
  <c r="P98" i="2"/>
  <c r="D98" i="2"/>
  <c r="P97" i="2"/>
  <c r="D97" i="2"/>
  <c r="D96" i="2"/>
  <c r="P95" i="2"/>
  <c r="D95" i="2"/>
  <c r="S93" i="2"/>
  <c r="R93" i="2"/>
  <c r="O93" i="2"/>
  <c r="F67" i="2"/>
  <c r="L67" i="2" s="1"/>
  <c r="D52" i="2" s="1"/>
  <c r="S39" i="8" s="1"/>
  <c r="M39" i="8" s="1"/>
  <c r="K39" i="9" s="1"/>
  <c r="P46" i="2"/>
  <c r="P44" i="2"/>
  <c r="P57" i="2"/>
  <c r="P56" i="2"/>
  <c r="H33" i="8"/>
  <c r="H32" i="8"/>
  <c r="H30" i="8"/>
  <c r="S33" i="8"/>
  <c r="S32" i="8"/>
  <c r="S30" i="8"/>
  <c r="H29" i="8"/>
  <c r="P215" i="12"/>
  <c r="U214" i="12"/>
  <c r="P214" i="12"/>
  <c r="D214" i="12"/>
  <c r="U213" i="12"/>
  <c r="P213" i="12"/>
  <c r="D213" i="12"/>
  <c r="U212" i="12"/>
  <c r="P212" i="12"/>
  <c r="D212" i="12"/>
  <c r="U211" i="12"/>
  <c r="D211" i="12"/>
  <c r="U210" i="12"/>
  <c r="D210" i="12"/>
  <c r="X208" i="12"/>
  <c r="W208" i="12"/>
  <c r="V208" i="12"/>
  <c r="U208" i="12"/>
  <c r="T208" i="12"/>
  <c r="S208" i="12"/>
  <c r="R208" i="12"/>
  <c r="Q208" i="12"/>
  <c r="P208" i="12"/>
  <c r="O208" i="12"/>
  <c r="P205" i="12"/>
  <c r="P198" i="12"/>
  <c r="O198" i="12"/>
  <c r="P187" i="12"/>
  <c r="Q187" i="12"/>
  <c r="R187" i="12"/>
  <c r="S187" i="12"/>
  <c r="P175" i="12"/>
  <c r="Q175" i="12"/>
  <c r="R175" i="12"/>
  <c r="S175" i="12"/>
  <c r="S198" i="12"/>
  <c r="O187" i="12"/>
  <c r="O175" i="12"/>
  <c r="R198" i="12"/>
  <c r="Q198" i="12"/>
  <c r="U204" i="12"/>
  <c r="P204" i="12"/>
  <c r="D204" i="12"/>
  <c r="U203" i="12"/>
  <c r="P203" i="12"/>
  <c r="D203" i="12"/>
  <c r="U202" i="12"/>
  <c r="P202" i="12"/>
  <c r="D202" i="12"/>
  <c r="U201" i="12"/>
  <c r="D201" i="12"/>
  <c r="U200" i="12"/>
  <c r="D200" i="12"/>
  <c r="X198" i="12"/>
  <c r="W198" i="12"/>
  <c r="V198" i="12"/>
  <c r="U198" i="12"/>
  <c r="T198" i="12"/>
  <c r="U193" i="12"/>
  <c r="P193" i="12"/>
  <c r="D193" i="12"/>
  <c r="U192" i="12"/>
  <c r="P192" i="12"/>
  <c r="D192" i="12"/>
  <c r="U191" i="12"/>
  <c r="P191" i="12"/>
  <c r="D191" i="12"/>
  <c r="U190" i="12"/>
  <c r="D190" i="12"/>
  <c r="U189" i="12"/>
  <c r="D189" i="12"/>
  <c r="X187" i="12"/>
  <c r="W187" i="12"/>
  <c r="V187" i="12"/>
  <c r="U187" i="12"/>
  <c r="T187" i="12"/>
  <c r="F136" i="12"/>
  <c r="E128" i="12" s="1"/>
  <c r="F120" i="12"/>
  <c r="E115" i="12" s="1"/>
  <c r="D108" i="12" s="1"/>
  <c r="U127" i="12"/>
  <c r="U126" i="12"/>
  <c r="U125" i="12"/>
  <c r="U124" i="12"/>
  <c r="U123" i="12"/>
  <c r="U122" i="12"/>
  <c r="Y67" i="8"/>
  <c r="AA67" i="8"/>
  <c r="Y98" i="8"/>
  <c r="AA98" i="8"/>
  <c r="M45" i="8"/>
  <c r="K45" i="9" s="1"/>
  <c r="O45" i="8"/>
  <c r="O44" i="8"/>
  <c r="O43" i="8"/>
  <c r="O42" i="8"/>
  <c r="O59" i="8"/>
  <c r="L59" i="9" s="1"/>
  <c r="H59" i="9" s="1"/>
  <c r="O58" i="8"/>
  <c r="L58" i="9" s="1"/>
  <c r="H58" i="9" s="1"/>
  <c r="M58" i="8"/>
  <c r="K58" i="9" s="1"/>
  <c r="O56" i="8"/>
  <c r="L56" i="9" s="1"/>
  <c r="H56" i="9" s="1"/>
  <c r="O55" i="8"/>
  <c r="L55" i="9" s="1"/>
  <c r="H55" i="9" s="1"/>
  <c r="O53" i="8"/>
  <c r="L53" i="9" s="1"/>
  <c r="H53" i="9" s="1"/>
  <c r="J52" i="9" s="1"/>
  <c r="E53" i="9" s="1"/>
  <c r="V53" i="8" s="1"/>
  <c r="P53" i="8" s="1"/>
  <c r="O49" i="8"/>
  <c r="L49" i="9" s="1"/>
  <c r="H49" i="9" s="1"/>
  <c r="M49" i="8"/>
  <c r="K49" i="9" s="1"/>
  <c r="O48" i="8"/>
  <c r="L48" i="9" s="1"/>
  <c r="H48" i="9" s="1"/>
  <c r="O39" i="8"/>
  <c r="L3" i="45"/>
  <c r="E4" i="45" s="1"/>
  <c r="N53" i="9"/>
  <c r="AA53" i="8" s="1"/>
  <c r="N52" i="9"/>
  <c r="AA52" i="8" s="1"/>
  <c r="N59" i="9"/>
  <c r="AA59" i="8" s="1"/>
  <c r="N58" i="9"/>
  <c r="AA58" i="8" s="1"/>
  <c r="N57" i="9"/>
  <c r="AA57" i="8" s="1"/>
  <c r="N56" i="9"/>
  <c r="AA56" i="8" s="1"/>
  <c r="N55" i="9"/>
  <c r="AA55" i="8" s="1"/>
  <c r="N54" i="9"/>
  <c r="AA54" i="8" s="1"/>
  <c r="N49" i="9"/>
  <c r="AA49" i="8" s="1"/>
  <c r="N48" i="9"/>
  <c r="AA48" i="8" s="1"/>
  <c r="N47" i="9"/>
  <c r="AA47" i="8" s="1"/>
  <c r="N45" i="9"/>
  <c r="AA45" i="8" s="1"/>
  <c r="N43" i="9"/>
  <c r="AA43" i="8" s="1"/>
  <c r="N39" i="9"/>
  <c r="AA39" i="8" s="1"/>
  <c r="N33" i="9"/>
  <c r="AA33" i="8" s="1"/>
  <c r="N32" i="9"/>
  <c r="AA32" i="8" s="1"/>
  <c r="N31" i="9"/>
  <c r="AA31" i="8" s="1"/>
  <c r="N30" i="9"/>
  <c r="AA30" i="8" s="1"/>
  <c r="N29" i="9"/>
  <c r="AA29" i="8" s="1"/>
  <c r="O20" i="7"/>
  <c r="D15" i="38"/>
  <c r="D15" i="20"/>
  <c r="H37" i="7"/>
  <c r="H36" i="7"/>
  <c r="P3" i="9"/>
  <c r="D17" i="7"/>
  <c r="AI102" i="9"/>
  <c r="AI99" i="9"/>
  <c r="AI97" i="9"/>
  <c r="AI57" i="9"/>
  <c r="AI54" i="9"/>
  <c r="AI52" i="9"/>
  <c r="N13" i="9"/>
  <c r="AA13" i="8" s="1"/>
  <c r="J47" i="9" l="1"/>
  <c r="E108" i="16"/>
  <c r="W36" i="38"/>
  <c r="B24" i="27"/>
  <c r="W37" i="38"/>
  <c r="B2" i="27"/>
  <c r="S58" i="9"/>
  <c r="P19" i="9"/>
  <c r="B19" i="9" s="1"/>
  <c r="R19" i="9"/>
  <c r="C19" i="9" s="1"/>
  <c r="S19" i="9"/>
  <c r="Q19" i="9"/>
  <c r="J54" i="9"/>
  <c r="E56" i="9" s="1"/>
  <c r="V56" i="8" s="1"/>
  <c r="P56" i="8" s="1"/>
  <c r="J57" i="9"/>
  <c r="E58" i="9" s="1"/>
  <c r="V58" i="8" s="1"/>
  <c r="P58" i="8" s="1"/>
  <c r="E48" i="9"/>
  <c r="V48" i="8" s="1"/>
  <c r="P48" i="8" s="1"/>
  <c r="D276" i="2"/>
  <c r="D280" i="2"/>
  <c r="D279" i="2"/>
  <c r="D278" i="2"/>
  <c r="D277" i="2"/>
  <c r="D147" i="2"/>
  <c r="D148" i="2"/>
  <c r="D146" i="2"/>
  <c r="D145" i="2"/>
  <c r="D144" i="2"/>
  <c r="H26" i="45"/>
  <c r="B3" i="45"/>
  <c r="D123" i="12"/>
  <c r="D122" i="12"/>
  <c r="D126" i="12"/>
  <c r="D125" i="12"/>
  <c r="D109" i="12"/>
  <c r="D110" i="12"/>
  <c r="D111" i="12"/>
  <c r="D112" i="12"/>
  <c r="D113" i="12"/>
  <c r="D124" i="12"/>
  <c r="P240" i="2"/>
  <c r="L47" i="2"/>
  <c r="D34" i="2" s="1"/>
  <c r="M43" i="8"/>
  <c r="K43" i="9" s="1"/>
  <c r="E59" i="9"/>
  <c r="V59" i="8" s="1"/>
  <c r="P59" i="8" s="1"/>
  <c r="P43" i="9"/>
  <c r="Q29" i="9"/>
  <c r="Q31" i="9"/>
  <c r="Q33" i="9"/>
  <c r="Q43" i="9"/>
  <c r="Q45" i="9"/>
  <c r="Q47" i="9"/>
  <c r="Q49" i="9"/>
  <c r="Q51" i="9"/>
  <c r="Q53" i="9"/>
  <c r="Q55" i="9"/>
  <c r="Q57" i="9"/>
  <c r="Q59" i="9"/>
  <c r="R29" i="9"/>
  <c r="R31" i="9"/>
  <c r="C31" i="9" s="1"/>
  <c r="R33" i="9"/>
  <c r="C33" i="9" s="1"/>
  <c r="R43" i="9"/>
  <c r="R45" i="9"/>
  <c r="R47" i="9"/>
  <c r="C47" i="9" s="1"/>
  <c r="R49" i="9"/>
  <c r="C49" i="9" s="1"/>
  <c r="R51" i="9"/>
  <c r="C51" i="9" s="1"/>
  <c r="R53" i="9"/>
  <c r="C53" i="9" s="1"/>
  <c r="R55" i="9"/>
  <c r="C55" i="9" s="1"/>
  <c r="R57" i="9"/>
  <c r="C57" i="9" s="1"/>
  <c r="R59" i="9"/>
  <c r="C59" i="9" s="1"/>
  <c r="P31" i="9"/>
  <c r="B31" i="9" s="1"/>
  <c r="P53" i="9"/>
  <c r="B53" i="9" s="1"/>
  <c r="S45" i="9"/>
  <c r="S57" i="9"/>
  <c r="P33" i="9"/>
  <c r="B33" i="9" s="1"/>
  <c r="P51" i="9"/>
  <c r="B51" i="9" s="1"/>
  <c r="P59" i="9"/>
  <c r="B59" i="9" s="1"/>
  <c r="S29" i="9"/>
  <c r="S43" i="9"/>
  <c r="S47" i="9"/>
  <c r="S49" i="9"/>
  <c r="S55" i="9"/>
  <c r="S59" i="9"/>
  <c r="P30" i="9"/>
  <c r="B30" i="9" s="1"/>
  <c r="P32" i="9"/>
  <c r="B32" i="9" s="1"/>
  <c r="P39" i="9"/>
  <c r="B39" i="9" s="1"/>
  <c r="P44" i="9"/>
  <c r="B44" i="9" s="1"/>
  <c r="P46" i="9"/>
  <c r="B46" i="9" s="1"/>
  <c r="P48" i="9"/>
  <c r="B48" i="9" s="1"/>
  <c r="P50" i="9"/>
  <c r="B50" i="9" s="1"/>
  <c r="P52" i="9"/>
  <c r="B52" i="9" s="1"/>
  <c r="P54" i="9"/>
  <c r="B54" i="9" s="1"/>
  <c r="P56" i="9"/>
  <c r="B56" i="9" s="1"/>
  <c r="P58" i="9"/>
  <c r="B58" i="9" s="1"/>
  <c r="P28" i="9"/>
  <c r="B28" i="9" s="1"/>
  <c r="P29" i="9"/>
  <c r="B29" i="9" s="1"/>
  <c r="P49" i="9"/>
  <c r="B49" i="9" s="1"/>
  <c r="P57" i="9"/>
  <c r="B57" i="9" s="1"/>
  <c r="S31" i="9"/>
  <c r="S53" i="9"/>
  <c r="W36" i="20"/>
  <c r="Q30" i="9"/>
  <c r="Q32" i="9"/>
  <c r="Q39" i="9"/>
  <c r="Q44" i="9"/>
  <c r="Q46" i="9"/>
  <c r="Q48" i="9"/>
  <c r="Q50" i="9"/>
  <c r="Q52" i="9"/>
  <c r="Q54" i="9"/>
  <c r="Q56" i="9"/>
  <c r="Q58" i="9"/>
  <c r="P45" i="9"/>
  <c r="B45" i="9" s="1"/>
  <c r="P55" i="9"/>
  <c r="B55" i="9" s="1"/>
  <c r="S33" i="9"/>
  <c r="S51" i="9"/>
  <c r="W37" i="20"/>
  <c r="R30" i="9"/>
  <c r="C30" i="9" s="1"/>
  <c r="R32" i="9"/>
  <c r="C32" i="9" s="1"/>
  <c r="R39" i="9"/>
  <c r="C39" i="9" s="1"/>
  <c r="C51" i="2" s="1"/>
  <c r="R44" i="9"/>
  <c r="C44" i="9" s="1"/>
  <c r="E44" i="8" s="1"/>
  <c r="R46" i="9"/>
  <c r="C46" i="9" s="1"/>
  <c r="R48" i="9"/>
  <c r="C48" i="9" s="1"/>
  <c r="E48" i="8" s="1"/>
  <c r="R50" i="9"/>
  <c r="C50" i="9" s="1"/>
  <c r="R52" i="9"/>
  <c r="R54" i="9"/>
  <c r="C54" i="9" s="1"/>
  <c r="R56" i="9"/>
  <c r="C56" i="9" s="1"/>
  <c r="R58" i="9"/>
  <c r="C58" i="9" s="1"/>
  <c r="P47" i="9"/>
  <c r="B47" i="9" s="1"/>
  <c r="S30" i="9"/>
  <c r="S32" i="9"/>
  <c r="S39" i="9"/>
  <c r="S44" i="9"/>
  <c r="S46" i="9"/>
  <c r="S48" i="9"/>
  <c r="S50" i="9"/>
  <c r="S52" i="9"/>
  <c r="S54" i="9"/>
  <c r="S56" i="9"/>
  <c r="E49" i="9"/>
  <c r="V49" i="8" s="1"/>
  <c r="P49" i="8" s="1"/>
  <c r="S12" i="9"/>
  <c r="R27" i="9"/>
  <c r="C27" i="9" s="1"/>
  <c r="M33" i="8"/>
  <c r="K33" i="9" s="1"/>
  <c r="O33" i="8"/>
  <c r="L33" i="9" s="1"/>
  <c r="H33" i="9" s="1"/>
  <c r="M32" i="8"/>
  <c r="K32" i="9" s="1"/>
  <c r="O32" i="8"/>
  <c r="L32" i="9" s="1"/>
  <c r="H32" i="9" s="1"/>
  <c r="O31" i="8"/>
  <c r="M30" i="8"/>
  <c r="K30" i="9" s="1"/>
  <c r="O30" i="8"/>
  <c r="M29" i="8"/>
  <c r="K29" i="9" s="1"/>
  <c r="O29" i="8"/>
  <c r="E55" i="9" l="1"/>
  <c r="V55" i="8" s="1"/>
  <c r="P55" i="8" s="1"/>
  <c r="B43" i="9"/>
  <c r="D93" i="2" s="1"/>
  <c r="P93" i="2" s="1"/>
  <c r="D113" i="2"/>
  <c r="P113" i="2" s="1"/>
  <c r="C52" i="9"/>
  <c r="C45" i="9"/>
  <c r="E45" i="8" s="1"/>
  <c r="C29" i="9"/>
  <c r="D29" i="8" s="1"/>
  <c r="C43" i="9"/>
  <c r="E43" i="8" s="1"/>
  <c r="C39" i="8"/>
  <c r="B51" i="2"/>
  <c r="J31" i="9"/>
  <c r="G60" i="3"/>
  <c r="G59" i="3"/>
  <c r="D23" i="45"/>
  <c r="AD90" i="39"/>
  <c r="C192" i="2" l="1"/>
  <c r="D52" i="8"/>
  <c r="E113" i="2"/>
  <c r="Q113" i="2" s="1"/>
  <c r="E93" i="2"/>
  <c r="Q93" i="2" s="1"/>
  <c r="E33" i="9"/>
  <c r="V33" i="8" s="1"/>
  <c r="P33" i="8" s="1"/>
  <c r="E32" i="9"/>
  <c r="V32" i="8" s="1"/>
  <c r="P32" i="8" s="1"/>
  <c r="K234" i="43"/>
  <c r="K231" i="43"/>
  <c r="K230" i="43"/>
  <c r="K229" i="43"/>
  <c r="T107" i="39" l="1"/>
  <c r="T105" i="39"/>
  <c r="T104" i="39"/>
  <c r="T100" i="39"/>
  <c r="T83" i="39"/>
  <c r="T71" i="39"/>
  <c r="T65" i="39"/>
  <c r="T61" i="39"/>
  <c r="T60" i="39"/>
  <c r="T59" i="39"/>
  <c r="T58" i="39"/>
  <c r="T57" i="39"/>
  <c r="T56" i="39"/>
  <c r="T55" i="39"/>
  <c r="T49" i="39"/>
  <c r="T48" i="39"/>
  <c r="T45" i="39"/>
  <c r="T43" i="39"/>
  <c r="T39" i="39"/>
  <c r="T35" i="39"/>
  <c r="T34" i="39"/>
  <c r="T26" i="39"/>
  <c r="T20" i="39"/>
  <c r="T18" i="39"/>
  <c r="J19" i="3"/>
  <c r="R22" i="3"/>
  <c r="S22" i="3" s="1"/>
  <c r="J20" i="3"/>
  <c r="S52" i="3" s="1"/>
  <c r="F81" i="16"/>
  <c r="F60" i="16"/>
  <c r="D46" i="16" s="1"/>
  <c r="Q20" i="3" l="1"/>
  <c r="P20" i="3" s="1"/>
  <c r="K20" i="3"/>
  <c r="S51" i="3"/>
  <c r="J57" i="3"/>
  <c r="G58" i="3" l="1"/>
  <c r="G57" i="3" s="1"/>
  <c r="L57" i="3" s="1"/>
  <c r="R32" i="3" l="1"/>
  <c r="S53" i="3"/>
  <c r="S55" i="3"/>
  <c r="S54" i="3"/>
  <c r="S56" i="3" l="1"/>
  <c r="Q105" i="43"/>
  <c r="P105" i="43"/>
  <c r="O105" i="43"/>
  <c r="N105" i="43"/>
  <c r="M105" i="43"/>
  <c r="L105" i="43"/>
  <c r="K105" i="43"/>
  <c r="J105" i="43"/>
  <c r="I105" i="43"/>
  <c r="Q104" i="43"/>
  <c r="P104" i="43"/>
  <c r="O104" i="43"/>
  <c r="N104" i="43"/>
  <c r="M104" i="43"/>
  <c r="L104" i="43"/>
  <c r="K104" i="43"/>
  <c r="J104" i="43"/>
  <c r="I104" i="43"/>
  <c r="Q103" i="43"/>
  <c r="P103" i="43"/>
  <c r="O103" i="43"/>
  <c r="N103" i="43"/>
  <c r="M103" i="43"/>
  <c r="L103" i="43"/>
  <c r="K103" i="43"/>
  <c r="J103" i="43"/>
  <c r="I103" i="43"/>
  <c r="Q102" i="43"/>
  <c r="P102" i="43"/>
  <c r="O102" i="43"/>
  <c r="N102" i="43"/>
  <c r="M102" i="43"/>
  <c r="L102" i="43"/>
  <c r="K102" i="43"/>
  <c r="J102" i="43"/>
  <c r="I102" i="43"/>
  <c r="Q101" i="43"/>
  <c r="P101" i="43"/>
  <c r="O101" i="43"/>
  <c r="N101" i="43"/>
  <c r="M101" i="43"/>
  <c r="L101" i="43"/>
  <c r="K101" i="43"/>
  <c r="J101" i="43"/>
  <c r="I101" i="43"/>
  <c r="Q100" i="43"/>
  <c r="P100" i="43"/>
  <c r="O100" i="43"/>
  <c r="N100" i="43"/>
  <c r="M100" i="43"/>
  <c r="L100" i="43"/>
  <c r="K100" i="43"/>
  <c r="J100" i="43"/>
  <c r="I100" i="43"/>
  <c r="Q99" i="43"/>
  <c r="P99" i="43"/>
  <c r="O99" i="43"/>
  <c r="N99" i="43"/>
  <c r="M99" i="43"/>
  <c r="L99" i="43"/>
  <c r="K99" i="43"/>
  <c r="J99" i="43"/>
  <c r="I99" i="43"/>
  <c r="Q98" i="43"/>
  <c r="P98" i="43"/>
  <c r="O98" i="43"/>
  <c r="N98" i="43"/>
  <c r="M98" i="43"/>
  <c r="L98" i="43"/>
  <c r="K98" i="43"/>
  <c r="J98" i="43"/>
  <c r="I98" i="43"/>
  <c r="Q97" i="43"/>
  <c r="P97" i="43"/>
  <c r="O97" i="43"/>
  <c r="N97" i="43"/>
  <c r="M97" i="43"/>
  <c r="L97" i="43"/>
  <c r="K97" i="43"/>
  <c r="J97" i="43"/>
  <c r="I97" i="43"/>
  <c r="Q96" i="43"/>
  <c r="P96" i="43"/>
  <c r="O96" i="43"/>
  <c r="N96" i="43"/>
  <c r="M96" i="43"/>
  <c r="L96" i="43"/>
  <c r="K96" i="43"/>
  <c r="J96" i="43"/>
  <c r="I96" i="43"/>
  <c r="Q95" i="43"/>
  <c r="P95" i="43"/>
  <c r="O95" i="43"/>
  <c r="N95" i="43"/>
  <c r="M95" i="43"/>
  <c r="L95" i="43"/>
  <c r="K95" i="43"/>
  <c r="J95" i="43"/>
  <c r="I95" i="43"/>
  <c r="Q94" i="43"/>
  <c r="P94" i="43"/>
  <c r="O94" i="43"/>
  <c r="N94" i="43"/>
  <c r="M94" i="43"/>
  <c r="L94" i="43"/>
  <c r="K94" i="43"/>
  <c r="J94" i="43"/>
  <c r="I94" i="43"/>
  <c r="Q93" i="43"/>
  <c r="P93" i="43"/>
  <c r="O93" i="43"/>
  <c r="N93" i="43"/>
  <c r="M93" i="43"/>
  <c r="L93" i="43"/>
  <c r="K93" i="43"/>
  <c r="J93" i="43"/>
  <c r="I93" i="43"/>
  <c r="Q92" i="43"/>
  <c r="P92" i="43"/>
  <c r="O92" i="43"/>
  <c r="N92" i="43"/>
  <c r="M92" i="43"/>
  <c r="L92" i="43"/>
  <c r="K92" i="43"/>
  <c r="J92" i="43"/>
  <c r="I92" i="43"/>
  <c r="Q91" i="43"/>
  <c r="P91" i="43"/>
  <c r="O91" i="43"/>
  <c r="N91" i="43"/>
  <c r="M91" i="43"/>
  <c r="L91" i="43"/>
  <c r="K91" i="43"/>
  <c r="J91" i="43"/>
  <c r="I91" i="43"/>
  <c r="Q90" i="43"/>
  <c r="P90" i="43"/>
  <c r="O90" i="43"/>
  <c r="N90" i="43"/>
  <c r="M90" i="43"/>
  <c r="L90" i="43"/>
  <c r="K90" i="43"/>
  <c r="J90" i="43"/>
  <c r="I90" i="43"/>
  <c r="Q89" i="43"/>
  <c r="P89" i="43"/>
  <c r="O89" i="43"/>
  <c r="N89" i="43"/>
  <c r="M89" i="43"/>
  <c r="L89" i="43"/>
  <c r="K89" i="43"/>
  <c r="J89" i="43"/>
  <c r="I89" i="43"/>
  <c r="Q88" i="43"/>
  <c r="P88" i="43"/>
  <c r="O88" i="43"/>
  <c r="N88" i="43"/>
  <c r="M88" i="43"/>
  <c r="L88" i="43"/>
  <c r="K88" i="43"/>
  <c r="J88" i="43"/>
  <c r="I88" i="43"/>
  <c r="Q87" i="43"/>
  <c r="P87" i="43"/>
  <c r="O87" i="43"/>
  <c r="N87" i="43"/>
  <c r="M87" i="43"/>
  <c r="L87" i="43"/>
  <c r="K87" i="43"/>
  <c r="J87" i="43"/>
  <c r="I87" i="43"/>
  <c r="Q86" i="43"/>
  <c r="P86" i="43"/>
  <c r="O86" i="43"/>
  <c r="N86" i="43"/>
  <c r="M86" i="43"/>
  <c r="L86" i="43"/>
  <c r="K86" i="43"/>
  <c r="J86" i="43"/>
  <c r="I86" i="43"/>
  <c r="Q85" i="43"/>
  <c r="P85" i="43"/>
  <c r="O85" i="43"/>
  <c r="N85" i="43"/>
  <c r="M85" i="43"/>
  <c r="L85" i="43"/>
  <c r="K85" i="43"/>
  <c r="J85" i="43"/>
  <c r="I85" i="43"/>
  <c r="Q84" i="43"/>
  <c r="P84" i="43"/>
  <c r="O84" i="43"/>
  <c r="N84" i="43"/>
  <c r="M84" i="43"/>
  <c r="L84" i="43"/>
  <c r="K84" i="43"/>
  <c r="J84" i="43"/>
  <c r="I84" i="43"/>
  <c r="Q83" i="43"/>
  <c r="P83" i="43"/>
  <c r="O83" i="43"/>
  <c r="N83" i="43"/>
  <c r="M83" i="43"/>
  <c r="L83" i="43"/>
  <c r="K83" i="43"/>
  <c r="J83" i="43"/>
  <c r="I83" i="43"/>
  <c r="Q82" i="43"/>
  <c r="P82" i="43"/>
  <c r="O82" i="43"/>
  <c r="N82" i="43"/>
  <c r="M82" i="43"/>
  <c r="L82" i="43"/>
  <c r="K82" i="43"/>
  <c r="J82" i="43"/>
  <c r="I82" i="43"/>
  <c r="Q81" i="43"/>
  <c r="P81" i="43"/>
  <c r="O81" i="43"/>
  <c r="N81" i="43"/>
  <c r="M81" i="43"/>
  <c r="L81" i="43"/>
  <c r="K81" i="43"/>
  <c r="J81" i="43"/>
  <c r="I81" i="43"/>
  <c r="Q80" i="43"/>
  <c r="P80" i="43"/>
  <c r="O80" i="43"/>
  <c r="N80" i="43"/>
  <c r="M80" i="43"/>
  <c r="L80" i="43"/>
  <c r="K80" i="43"/>
  <c r="J80" i="43"/>
  <c r="I80" i="43"/>
  <c r="Q79" i="43"/>
  <c r="P79" i="43"/>
  <c r="O79" i="43"/>
  <c r="N79" i="43"/>
  <c r="M79" i="43"/>
  <c r="L79" i="43"/>
  <c r="K79" i="43"/>
  <c r="J79" i="43"/>
  <c r="I79" i="43"/>
  <c r="Q78" i="43"/>
  <c r="P78" i="43"/>
  <c r="O78" i="43"/>
  <c r="N78" i="43"/>
  <c r="M78" i="43"/>
  <c r="L78" i="43"/>
  <c r="K78" i="43"/>
  <c r="J78" i="43"/>
  <c r="I78" i="43"/>
  <c r="Q77" i="43"/>
  <c r="P77" i="43"/>
  <c r="O77" i="43"/>
  <c r="N77" i="43"/>
  <c r="M77" i="43"/>
  <c r="L77" i="43"/>
  <c r="K77" i="43"/>
  <c r="J77" i="43"/>
  <c r="I77" i="43"/>
  <c r="Q76" i="43"/>
  <c r="P76" i="43"/>
  <c r="O76" i="43"/>
  <c r="N76" i="43"/>
  <c r="M76" i="43"/>
  <c r="L76" i="43"/>
  <c r="K76" i="43"/>
  <c r="J76" i="43"/>
  <c r="I76" i="43"/>
  <c r="Q75" i="43"/>
  <c r="P75" i="43"/>
  <c r="O75" i="43"/>
  <c r="N75" i="43"/>
  <c r="M75" i="43"/>
  <c r="L75" i="43"/>
  <c r="K75" i="43"/>
  <c r="J75" i="43"/>
  <c r="I75" i="43"/>
  <c r="Q74" i="43"/>
  <c r="P74" i="43"/>
  <c r="O74" i="43"/>
  <c r="N74" i="43"/>
  <c r="M74" i="43"/>
  <c r="L74" i="43"/>
  <c r="K74" i="43"/>
  <c r="J74" i="43"/>
  <c r="I74" i="43"/>
  <c r="Q73" i="43"/>
  <c r="P73" i="43"/>
  <c r="O73" i="43"/>
  <c r="N73" i="43"/>
  <c r="M73" i="43"/>
  <c r="L73" i="43"/>
  <c r="K73" i="43"/>
  <c r="J73" i="43"/>
  <c r="I73" i="43"/>
  <c r="Q72" i="43"/>
  <c r="P72" i="43"/>
  <c r="O72" i="43"/>
  <c r="N72" i="43"/>
  <c r="M72" i="43"/>
  <c r="L72" i="43"/>
  <c r="K72" i="43"/>
  <c r="J72" i="43"/>
  <c r="I72" i="43"/>
  <c r="Q71" i="43"/>
  <c r="P71" i="43"/>
  <c r="O71" i="43"/>
  <c r="N71" i="43"/>
  <c r="M71" i="43"/>
  <c r="L71" i="43"/>
  <c r="K71" i="43"/>
  <c r="J71" i="43"/>
  <c r="I71" i="43"/>
  <c r="Q70" i="43"/>
  <c r="P70" i="43"/>
  <c r="O70" i="43"/>
  <c r="N70" i="43"/>
  <c r="M70" i="43"/>
  <c r="L70" i="43"/>
  <c r="K70" i="43"/>
  <c r="J70" i="43"/>
  <c r="I70" i="43"/>
  <c r="Q69" i="43"/>
  <c r="P69" i="43"/>
  <c r="O69" i="43"/>
  <c r="N69" i="43"/>
  <c r="M69" i="43"/>
  <c r="L69" i="43"/>
  <c r="K69" i="43"/>
  <c r="J69" i="43"/>
  <c r="I69" i="43"/>
  <c r="Q68" i="43"/>
  <c r="P68" i="43"/>
  <c r="O68" i="43"/>
  <c r="N68" i="43"/>
  <c r="M68" i="43"/>
  <c r="L68" i="43"/>
  <c r="K68" i="43"/>
  <c r="J68" i="43"/>
  <c r="I68" i="43"/>
  <c r="Q67" i="43"/>
  <c r="P67" i="43"/>
  <c r="O67" i="43"/>
  <c r="N67" i="43"/>
  <c r="M67" i="43"/>
  <c r="L67" i="43"/>
  <c r="K67" i="43"/>
  <c r="J67" i="43"/>
  <c r="I67" i="43"/>
  <c r="Q66" i="43"/>
  <c r="P66" i="43"/>
  <c r="O66" i="43"/>
  <c r="N66" i="43"/>
  <c r="M66" i="43"/>
  <c r="L66" i="43"/>
  <c r="K66" i="43"/>
  <c r="J66" i="43"/>
  <c r="I66" i="43"/>
  <c r="Q65" i="43"/>
  <c r="P65" i="43"/>
  <c r="O65" i="43"/>
  <c r="N65" i="43"/>
  <c r="M65" i="43"/>
  <c r="L65" i="43"/>
  <c r="K65" i="43"/>
  <c r="J65" i="43"/>
  <c r="I65" i="43"/>
  <c r="Q64" i="43"/>
  <c r="P64" i="43"/>
  <c r="O64" i="43"/>
  <c r="N64" i="43"/>
  <c r="M64" i="43"/>
  <c r="L64" i="43"/>
  <c r="K64" i="43"/>
  <c r="J64" i="43"/>
  <c r="I64" i="43"/>
  <c r="Q63" i="43"/>
  <c r="P63" i="43"/>
  <c r="O63" i="43"/>
  <c r="N63" i="43"/>
  <c r="M63" i="43"/>
  <c r="L63" i="43"/>
  <c r="K63" i="43"/>
  <c r="J63" i="43"/>
  <c r="I63" i="43"/>
  <c r="Q62" i="43"/>
  <c r="P62" i="43"/>
  <c r="O62" i="43"/>
  <c r="N62" i="43"/>
  <c r="M62" i="43"/>
  <c r="L62" i="43"/>
  <c r="K62" i="43"/>
  <c r="J62" i="43"/>
  <c r="I62" i="43"/>
  <c r="Q61" i="43"/>
  <c r="P61" i="43"/>
  <c r="O61" i="43"/>
  <c r="N61" i="43"/>
  <c r="M61" i="43"/>
  <c r="L61" i="43"/>
  <c r="K61" i="43"/>
  <c r="J61" i="43"/>
  <c r="I61" i="43"/>
  <c r="Q60" i="43"/>
  <c r="P60" i="43"/>
  <c r="O60" i="43"/>
  <c r="N60" i="43"/>
  <c r="M60" i="43"/>
  <c r="L60" i="43"/>
  <c r="K60" i="43"/>
  <c r="J60" i="43"/>
  <c r="I60" i="43"/>
  <c r="Q59" i="43"/>
  <c r="P59" i="43"/>
  <c r="O59" i="43"/>
  <c r="N59" i="43"/>
  <c r="M59" i="43"/>
  <c r="L59" i="43"/>
  <c r="K59" i="43"/>
  <c r="J59" i="43"/>
  <c r="I59" i="43"/>
  <c r="Q58" i="43"/>
  <c r="P58" i="43"/>
  <c r="O58" i="43"/>
  <c r="N58" i="43"/>
  <c r="M58" i="43"/>
  <c r="L58" i="43"/>
  <c r="K58" i="43"/>
  <c r="J58" i="43"/>
  <c r="I58" i="43"/>
  <c r="Q263" i="43" l="1"/>
  <c r="P263" i="43"/>
  <c r="O263" i="43"/>
  <c r="N263" i="43"/>
  <c r="M263" i="43"/>
  <c r="L263" i="43"/>
  <c r="K263" i="43"/>
  <c r="Q259" i="43"/>
  <c r="P259" i="43"/>
  <c r="O259" i="43"/>
  <c r="N259" i="43"/>
  <c r="M259" i="43"/>
  <c r="L259" i="43"/>
  <c r="L260" i="43" s="1"/>
  <c r="K259" i="43"/>
  <c r="Q255" i="43"/>
  <c r="Q256" i="43" s="1"/>
  <c r="P255" i="43"/>
  <c r="P256" i="43" s="1"/>
  <c r="O255" i="43"/>
  <c r="N255" i="43"/>
  <c r="M255" i="43"/>
  <c r="L255" i="43"/>
  <c r="K255" i="43"/>
  <c r="Q251" i="43"/>
  <c r="P251" i="43"/>
  <c r="O251" i="43"/>
  <c r="O249" i="43" s="1"/>
  <c r="N251" i="43"/>
  <c r="N250" i="43" s="1"/>
  <c r="M251" i="43"/>
  <c r="L251" i="43"/>
  <c r="K251" i="43"/>
  <c r="Q247" i="43"/>
  <c r="P247" i="43"/>
  <c r="O247" i="43"/>
  <c r="N247" i="43"/>
  <c r="M247" i="43"/>
  <c r="L247" i="43"/>
  <c r="K247" i="43"/>
  <c r="Q243" i="43"/>
  <c r="P243" i="43"/>
  <c r="O243" i="43"/>
  <c r="N243" i="43"/>
  <c r="M243" i="43"/>
  <c r="L243" i="43"/>
  <c r="K243" i="43"/>
  <c r="J243" i="43"/>
  <c r="AO238" i="43"/>
  <c r="K262" i="43" s="1"/>
  <c r="J263" i="43"/>
  <c r="J259" i="43"/>
  <c r="J255" i="43"/>
  <c r="J251" i="43"/>
  <c r="J247" i="43"/>
  <c r="P244" i="43" l="1"/>
  <c r="L249" i="43"/>
  <c r="J241" i="43"/>
  <c r="T243" i="43" s="1"/>
  <c r="J262" i="43"/>
  <c r="O245" i="43"/>
  <c r="K253" i="43"/>
  <c r="J264" i="43"/>
  <c r="P246" i="43"/>
  <c r="K254" i="43"/>
  <c r="N260" i="43"/>
  <c r="J248" i="43"/>
  <c r="Q245" i="43"/>
  <c r="K256" i="43"/>
  <c r="N256" i="43"/>
  <c r="M261" i="43"/>
  <c r="J252" i="43"/>
  <c r="J245" i="43"/>
  <c r="M244" i="43"/>
  <c r="P252" i="43"/>
  <c r="L256" i="43"/>
  <c r="O256" i="43"/>
  <c r="P260" i="43"/>
  <c r="N261" i="43"/>
  <c r="J256" i="43"/>
  <c r="J246" i="43"/>
  <c r="M253" i="43"/>
  <c r="Q257" i="43"/>
  <c r="O261" i="43"/>
  <c r="J261" i="43"/>
  <c r="N245" i="43"/>
  <c r="Q252" i="43"/>
  <c r="M260" i="43"/>
  <c r="Q242" i="43"/>
  <c r="M249" i="43"/>
  <c r="J242" i="43"/>
  <c r="K244" i="43"/>
  <c r="N249" i="43"/>
  <c r="M256" i="43"/>
  <c r="L264" i="43"/>
  <c r="J244" i="43"/>
  <c r="L244" i="43"/>
  <c r="O252" i="43"/>
  <c r="O260" i="43"/>
  <c r="J257" i="43"/>
  <c r="J258" i="43"/>
  <c r="N244" i="43"/>
  <c r="L248" i="43"/>
  <c r="O250" i="43"/>
  <c r="M252" i="43"/>
  <c r="N253" i="43"/>
  <c r="K260" i="43"/>
  <c r="P262" i="43"/>
  <c r="J260" i="43"/>
  <c r="O244" i="43"/>
  <c r="M246" i="43"/>
  <c r="K249" i="43"/>
  <c r="N252" i="43"/>
  <c r="Q261" i="43"/>
  <c r="J249" i="43"/>
  <c r="N241" i="43"/>
  <c r="N257" i="43"/>
  <c r="J250" i="43"/>
  <c r="O241" i="43"/>
  <c r="M248" i="43"/>
  <c r="O257" i="43"/>
  <c r="M264" i="43"/>
  <c r="N242" i="43"/>
  <c r="N248" i="43"/>
  <c r="N258" i="43"/>
  <c r="N264" i="43"/>
  <c r="J253" i="43"/>
  <c r="O242" i="43"/>
  <c r="Q244" i="43"/>
  <c r="O248" i="43"/>
  <c r="O258" i="43"/>
  <c r="Q260" i="43"/>
  <c r="O264" i="43"/>
  <c r="J254" i="43"/>
  <c r="K241" i="43"/>
  <c r="K245" i="43"/>
  <c r="P248" i="43"/>
  <c r="Q249" i="43"/>
  <c r="O254" i="43"/>
  <c r="K257" i="43"/>
  <c r="K261" i="43"/>
  <c r="P264" i="43"/>
  <c r="L242" i="43"/>
  <c r="K246" i="43"/>
  <c r="Q248" i="43"/>
  <c r="K252" i="43"/>
  <c r="P254" i="43"/>
  <c r="L257" i="43"/>
  <c r="Q264" i="43"/>
  <c r="M241" i="43"/>
  <c r="K248" i="43"/>
  <c r="L252" i="43"/>
  <c r="Q253" i="43"/>
  <c r="M257" i="43"/>
  <c r="K264" i="43"/>
  <c r="P250" i="43"/>
  <c r="P258" i="43"/>
  <c r="Q250" i="43"/>
  <c r="L253" i="43"/>
  <c r="M254" i="43"/>
  <c r="P257" i="43"/>
  <c r="Q258" i="43"/>
  <c r="L261" i="43"/>
  <c r="M262" i="43"/>
  <c r="Q241" i="43"/>
  <c r="M245" i="43"/>
  <c r="N254" i="43"/>
  <c r="N262" i="43"/>
  <c r="O246" i="43"/>
  <c r="K250" i="43"/>
  <c r="K258" i="43"/>
  <c r="L250" i="43"/>
  <c r="O253" i="43"/>
  <c r="L258" i="43"/>
  <c r="L241" i="43"/>
  <c r="M242" i="43"/>
  <c r="P245" i="43"/>
  <c r="Q246" i="43"/>
  <c r="M250" i="43"/>
  <c r="P253" i="43"/>
  <c r="Q254" i="43"/>
  <c r="M258" i="43"/>
  <c r="P261" i="43"/>
  <c r="Q262" i="43"/>
  <c r="P242" i="43"/>
  <c r="L246" i="43"/>
  <c r="L254" i="43"/>
  <c r="L262" i="43"/>
  <c r="P241" i="43"/>
  <c r="L245" i="43"/>
  <c r="P249" i="43"/>
  <c r="N246" i="43"/>
  <c r="K242" i="43"/>
  <c r="O262" i="43"/>
  <c r="AD46" i="39" l="1"/>
  <c r="R22" i="6"/>
  <c r="S22" i="6" s="1"/>
  <c r="R21" i="6"/>
  <c r="S21" i="6" s="1"/>
  <c r="R20" i="6"/>
  <c r="S20" i="6" s="1"/>
  <c r="R19" i="6"/>
  <c r="S19" i="6" s="1"/>
  <c r="P142" i="3"/>
  <c r="O142" i="3"/>
  <c r="P131" i="3"/>
  <c r="O131" i="3"/>
  <c r="P119" i="3"/>
  <c r="O119" i="3"/>
  <c r="P102" i="3"/>
  <c r="O102" i="3"/>
  <c r="P69" i="3"/>
  <c r="O69" i="3"/>
  <c r="P49" i="3"/>
  <c r="P7" i="3"/>
  <c r="O7" i="3"/>
  <c r="Q7" i="3"/>
  <c r="R7" i="3"/>
  <c r="S7" i="3"/>
  <c r="T7" i="3"/>
  <c r="U7" i="3"/>
  <c r="V7" i="3"/>
  <c r="W7" i="3"/>
  <c r="X7" i="3"/>
  <c r="L71" i="9"/>
  <c r="L72" i="9"/>
  <c r="F37" i="6"/>
  <c r="F36" i="6"/>
  <c r="E36" i="6"/>
  <c r="F35" i="6"/>
  <c r="E35" i="6"/>
  <c r="F34" i="6"/>
  <c r="E34" i="6"/>
  <c r="J33" i="6"/>
  <c r="D33" i="6"/>
  <c r="F31" i="6"/>
  <c r="F30" i="6"/>
  <c r="E30" i="6"/>
  <c r="F29" i="6"/>
  <c r="E29" i="6"/>
  <c r="F28" i="6"/>
  <c r="E28" i="6"/>
  <c r="J27" i="6"/>
  <c r="D27" i="6"/>
  <c r="F25" i="6"/>
  <c r="F24" i="6"/>
  <c r="E24" i="6"/>
  <c r="F23" i="6"/>
  <c r="E23" i="6"/>
  <c r="F22" i="6"/>
  <c r="E22" i="6"/>
  <c r="F21" i="6"/>
  <c r="E21" i="6"/>
  <c r="F20" i="6"/>
  <c r="E20" i="6"/>
  <c r="J19" i="6"/>
  <c r="D19" i="6"/>
  <c r="I27" i="7"/>
  <c r="I26" i="7"/>
  <c r="I25" i="7"/>
  <c r="I24" i="7"/>
  <c r="I23" i="7"/>
  <c r="I22" i="7"/>
  <c r="I21" i="7"/>
  <c r="I20" i="7"/>
  <c r="I19" i="7"/>
  <c r="I18" i="7"/>
  <c r="J64" i="41" l="1"/>
  <c r="J63" i="41"/>
  <c r="J62" i="41"/>
  <c r="Q77" i="41" s="1"/>
  <c r="G65" i="41"/>
  <c r="G64" i="41"/>
  <c r="I80" i="42" s="1"/>
  <c r="G63" i="41"/>
  <c r="G62" i="41"/>
  <c r="D6" i="41"/>
  <c r="F27" i="41"/>
  <c r="F26" i="41"/>
  <c r="F25" i="41"/>
  <c r="M2" i="41"/>
  <c r="I6" i="41"/>
  <c r="P29" i="41"/>
  <c r="E27" i="41" s="1"/>
  <c r="O29" i="41"/>
  <c r="E26" i="41" s="1"/>
  <c r="N29" i="41"/>
  <c r="E25" i="41" s="1"/>
  <c r="N18" i="41"/>
  <c r="M18" i="41" s="1"/>
  <c r="D8" i="41"/>
  <c r="U265" i="43"/>
  <c r="T265" i="43"/>
  <c r="F30" i="42" l="1"/>
  <c r="F26" i="42"/>
  <c r="Q76" i="41"/>
  <c r="I59" i="42"/>
  <c r="Q78" i="41"/>
  <c r="J59" i="42"/>
  <c r="Q79" i="41"/>
  <c r="B23" i="45"/>
  <c r="B5" i="45"/>
  <c r="I240" i="43"/>
  <c r="I251" i="43" s="1"/>
  <c r="E20" i="45"/>
  <c r="D20" i="45"/>
  <c r="E19" i="45"/>
  <c r="D19" i="45"/>
  <c r="E18" i="45"/>
  <c r="D18" i="45"/>
  <c r="E17" i="45"/>
  <c r="D17" i="45"/>
  <c r="E16" i="45"/>
  <c r="D16" i="45"/>
  <c r="E15" i="45"/>
  <c r="D15" i="45"/>
  <c r="E14" i="45"/>
  <c r="D14" i="45"/>
  <c r="E13" i="45"/>
  <c r="D13" i="45"/>
  <c r="E12" i="45"/>
  <c r="D12" i="45"/>
  <c r="E11" i="45"/>
  <c r="D11" i="45"/>
  <c r="E10" i="45"/>
  <c r="D10" i="45"/>
  <c r="W266" i="43"/>
  <c r="X266" i="43" s="1"/>
  <c r="V243" i="43"/>
  <c r="P40" i="42"/>
  <c r="M76" i="42"/>
  <c r="P73" i="42"/>
  <c r="I50" i="42"/>
  <c r="I49" i="42"/>
  <c r="I48" i="42"/>
  <c r="I47" i="42"/>
  <c r="F45" i="42"/>
  <c r="P42" i="42"/>
  <c r="P41" i="42"/>
  <c r="P35" i="42"/>
  <c r="K35" i="42"/>
  <c r="J35" i="42"/>
  <c r="I35" i="42"/>
  <c r="J29" i="42"/>
  <c r="J28" i="42"/>
  <c r="J27" i="42"/>
  <c r="K23" i="42"/>
  <c r="J23" i="42"/>
  <c r="I23" i="42"/>
  <c r="P13" i="42"/>
  <c r="F13" i="42"/>
  <c r="G42" i="42" s="1"/>
  <c r="P12" i="42"/>
  <c r="F12" i="42"/>
  <c r="P11" i="42"/>
  <c r="F11" i="42"/>
  <c r="G40" i="42" s="1"/>
  <c r="B3" i="42"/>
  <c r="E89" i="41"/>
  <c r="D89" i="41"/>
  <c r="R67" i="41"/>
  <c r="D66" i="41" s="1"/>
  <c r="O66" i="41" s="1"/>
  <c r="R55" i="41"/>
  <c r="D54" i="41" s="1"/>
  <c r="R53" i="41"/>
  <c r="R52" i="41"/>
  <c r="R51" i="41"/>
  <c r="P50" i="41"/>
  <c r="R47" i="41"/>
  <c r="P47" i="41"/>
  <c r="G27" i="41"/>
  <c r="G13" i="42" s="1"/>
  <c r="G26" i="41"/>
  <c r="G12" i="42" s="1"/>
  <c r="N25" i="41"/>
  <c r="J23" i="41" s="1"/>
  <c r="G25" i="41"/>
  <c r="G11" i="42" s="1"/>
  <c r="O18" i="41"/>
  <c r="L40" i="42"/>
  <c r="D12" i="41"/>
  <c r="J9" i="41"/>
  <c r="M9" i="41" s="1"/>
  <c r="J8" i="41"/>
  <c r="M8" i="41" s="1"/>
  <c r="B2" i="42"/>
  <c r="R50" i="41" l="1"/>
  <c r="D49" i="41" s="1"/>
  <c r="O49" i="41" s="1"/>
  <c r="K218" i="43"/>
  <c r="E5" i="45"/>
  <c r="G85" i="42"/>
  <c r="P32" i="42"/>
  <c r="P33" i="42"/>
  <c r="P89" i="42" s="1"/>
  <c r="G41" i="42"/>
  <c r="P52" i="42" s="1"/>
  <c r="P90" i="42" s="1"/>
  <c r="I266" i="43"/>
  <c r="F89" i="41"/>
  <c r="I259" i="43"/>
  <c r="I250" i="43"/>
  <c r="Q80" i="41"/>
  <c r="Q81" i="41" s="1"/>
  <c r="P84" i="41" s="1"/>
  <c r="D46" i="41"/>
  <c r="O46" i="41" s="1"/>
  <c r="X243" i="43"/>
  <c r="I257" i="43"/>
  <c r="Y243" i="43"/>
  <c r="Z243" i="43"/>
  <c r="I258" i="43"/>
  <c r="I260" i="43"/>
  <c r="I252" i="43"/>
  <c r="I264" i="43"/>
  <c r="I263" i="43"/>
  <c r="I244" i="43"/>
  <c r="I243" i="43"/>
  <c r="I242" i="43"/>
  <c r="I256" i="43"/>
  <c r="I255" i="43"/>
  <c r="I248" i="43"/>
  <c r="I247" i="43"/>
  <c r="W243" i="43"/>
  <c r="I249" i="43"/>
  <c r="D5" i="45"/>
  <c r="L35" i="42"/>
  <c r="M35" i="42" s="1"/>
  <c r="L42" i="42"/>
  <c r="L41" i="42"/>
  <c r="L11" i="42"/>
  <c r="O54" i="41"/>
  <c r="P72" i="41"/>
  <c r="M20" i="41"/>
  <c r="K26" i="42" s="1"/>
  <c r="I245" i="43"/>
  <c r="I253" i="43"/>
  <c r="I261" i="43"/>
  <c r="I246" i="43"/>
  <c r="I254" i="43"/>
  <c r="I262" i="43"/>
  <c r="Y242" i="43"/>
  <c r="J75" i="41" l="1"/>
  <c r="F6" i="27"/>
  <c r="F16" i="6"/>
  <c r="O218" i="43"/>
  <c r="E29" i="27"/>
  <c r="E28" i="27"/>
  <c r="E12" i="41"/>
  <c r="I64" i="42"/>
  <c r="J76" i="41"/>
  <c r="F8" i="27"/>
  <c r="G16" i="6"/>
  <c r="P85" i="41"/>
  <c r="R85" i="41" s="1"/>
  <c r="F91" i="41" s="1"/>
  <c r="Z242" i="43"/>
  <c r="X242" i="43"/>
  <c r="T242" i="43"/>
  <c r="V242" i="43"/>
  <c r="I241" i="43"/>
  <c r="W242" i="43"/>
  <c r="AA242" i="43"/>
  <c r="AA243" i="43"/>
  <c r="U243" i="43"/>
  <c r="U242" i="43"/>
  <c r="J218" i="43"/>
  <c r="J219" i="43" s="1"/>
  <c r="K67" i="42" s="1"/>
  <c r="L23" i="42"/>
  <c r="M23" i="42" s="1"/>
  <c r="L13" i="42"/>
  <c r="L12" i="42"/>
  <c r="R84" i="41"/>
  <c r="E91" i="41"/>
  <c r="C21" i="41"/>
  <c r="M67" i="42" l="1"/>
  <c r="P67" i="42"/>
  <c r="J47" i="42"/>
  <c r="K47" i="42" s="1"/>
  <c r="M47" i="42" s="1"/>
  <c r="K30" i="42"/>
  <c r="K228" i="43"/>
  <c r="K236" i="43" s="1"/>
  <c r="E90" i="41"/>
  <c r="J48" i="42"/>
  <c r="K48" i="42" s="1"/>
  <c r="M48" i="42" s="1"/>
  <c r="J49" i="42"/>
  <c r="K49" i="42" s="1"/>
  <c r="M49" i="42" s="1"/>
  <c r="J50" i="42"/>
  <c r="K50" i="42" s="1"/>
  <c r="M50" i="42" s="1"/>
  <c r="R87" i="41"/>
  <c r="F90" i="41"/>
  <c r="D88" i="41" s="1"/>
  <c r="I30" i="42" l="1"/>
  <c r="J30" i="42" s="1"/>
  <c r="M30" i="42" s="1"/>
  <c r="I26" i="42"/>
  <c r="J26" i="42" s="1"/>
  <c r="M26" i="42" s="1"/>
  <c r="K60" i="42"/>
  <c r="K59" i="42"/>
  <c r="K64" i="42" l="1"/>
  <c r="P64" i="42" s="1"/>
  <c r="K84" i="42"/>
  <c r="M59" i="42"/>
  <c r="M60" i="42"/>
  <c r="K85" i="42"/>
  <c r="M85" i="42" s="1"/>
  <c r="P60" i="42"/>
  <c r="K65" i="42"/>
  <c r="P59" i="42"/>
  <c r="P55" i="42" s="1"/>
  <c r="P91" i="42" s="1"/>
  <c r="M65" i="42" l="1"/>
  <c r="P65" i="42"/>
  <c r="P56" i="42" s="1"/>
  <c r="P92" i="42" s="1"/>
  <c r="J78" i="41" s="1"/>
  <c r="F10" i="27"/>
  <c r="R25" i="3"/>
  <c r="R20" i="3" s="1"/>
  <c r="R24" i="3"/>
  <c r="S24" i="3" s="1"/>
  <c r="R23" i="3"/>
  <c r="S23" i="3" l="1"/>
  <c r="S45" i="3" s="1"/>
  <c r="R45" i="3"/>
  <c r="S25" i="3"/>
  <c r="S20" i="3" s="1"/>
  <c r="H16" i="6"/>
  <c r="J77" i="41"/>
  <c r="I16" i="6"/>
  <c r="H71" i="8"/>
  <c r="S71" i="8"/>
  <c r="M71" i="8" s="1"/>
  <c r="H27" i="8"/>
  <c r="L169" i="12"/>
  <c r="L152" i="12"/>
  <c r="F102" i="12"/>
  <c r="D84" i="12" s="1"/>
  <c r="AY57" i="9"/>
  <c r="AY54" i="9"/>
  <c r="AY52" i="9"/>
  <c r="S49" i="3"/>
  <c r="U55" i="3"/>
  <c r="P55" i="3"/>
  <c r="U54" i="3"/>
  <c r="P54" i="3"/>
  <c r="U53" i="3"/>
  <c r="P53" i="3"/>
  <c r="U52" i="3"/>
  <c r="U51" i="3"/>
  <c r="X49" i="3"/>
  <c r="W49" i="3"/>
  <c r="V49" i="3"/>
  <c r="U49" i="3"/>
  <c r="T49" i="3"/>
  <c r="R49" i="3"/>
  <c r="Q49" i="3"/>
  <c r="K71" i="9" l="1"/>
  <c r="S47" i="39"/>
  <c r="T47" i="39" s="1"/>
  <c r="U262" i="2"/>
  <c r="P262" i="2"/>
  <c r="U261" i="2"/>
  <c r="P261" i="2"/>
  <c r="U260" i="2"/>
  <c r="P260" i="2"/>
  <c r="U259" i="2"/>
  <c r="U258" i="2"/>
  <c r="P258" i="2"/>
  <c r="X256" i="2"/>
  <c r="W256" i="2"/>
  <c r="V256" i="2"/>
  <c r="U256" i="2"/>
  <c r="T256" i="2"/>
  <c r="S256" i="2"/>
  <c r="R256" i="2"/>
  <c r="Q256" i="2"/>
  <c r="P256" i="2"/>
  <c r="O256" i="2"/>
  <c r="U227" i="2"/>
  <c r="D157" i="12"/>
  <c r="S27" i="8" s="1"/>
  <c r="U164" i="12"/>
  <c r="U163" i="12"/>
  <c r="D163" i="12"/>
  <c r="U162" i="12"/>
  <c r="D162" i="12"/>
  <c r="U161" i="12"/>
  <c r="P161" i="12"/>
  <c r="D161" i="12"/>
  <c r="U160" i="12"/>
  <c r="P160" i="12"/>
  <c r="D160" i="12"/>
  <c r="U159" i="12"/>
  <c r="D159" i="12"/>
  <c r="X157" i="12"/>
  <c r="W157" i="12"/>
  <c r="V157" i="12"/>
  <c r="U157" i="12"/>
  <c r="T157" i="12"/>
  <c r="S157" i="12"/>
  <c r="R157" i="12"/>
  <c r="Q157" i="12"/>
  <c r="P157" i="12"/>
  <c r="O157" i="12"/>
  <c r="D85" i="12"/>
  <c r="I47" i="39" l="1"/>
  <c r="U47" i="39"/>
  <c r="M47" i="39" s="1"/>
  <c r="J47" i="39"/>
  <c r="H47" i="39"/>
  <c r="H2" i="27"/>
  <c r="K2" i="39"/>
  <c r="L1" i="6"/>
  <c r="L1" i="4"/>
  <c r="L1" i="3"/>
  <c r="L1" i="16"/>
  <c r="L1" i="2"/>
  <c r="L1" i="12"/>
  <c r="E1" i="14"/>
  <c r="B3" i="8"/>
  <c r="AB94" i="39" l="1"/>
  <c r="AB84" i="39"/>
  <c r="AB82" i="39"/>
  <c r="AB76" i="39"/>
  <c r="AB63" i="39"/>
  <c r="AB44" i="39"/>
  <c r="AB40" i="39"/>
  <c r="AB27" i="39"/>
  <c r="AB22" i="39"/>
  <c r="AB10" i="39"/>
  <c r="AD108" i="39"/>
  <c r="AD19" i="39"/>
  <c r="U107" i="39"/>
  <c r="M107" i="39" s="1"/>
  <c r="AC107" i="39" s="1"/>
  <c r="U105" i="39"/>
  <c r="M105" i="39" s="1"/>
  <c r="AC105" i="39" s="1"/>
  <c r="U104" i="39"/>
  <c r="M104" i="39" s="1"/>
  <c r="U100" i="39"/>
  <c r="M100" i="39" s="1"/>
  <c r="U83" i="39"/>
  <c r="M83" i="39" s="1"/>
  <c r="AC83" i="39" s="1"/>
  <c r="U71" i="39"/>
  <c r="M71" i="39" s="1"/>
  <c r="U65" i="39"/>
  <c r="M65" i="39" s="1"/>
  <c r="U61" i="39"/>
  <c r="M61" i="39" s="1"/>
  <c r="AC61" i="39" s="1"/>
  <c r="U60" i="39"/>
  <c r="M60" i="39" s="1"/>
  <c r="U59" i="39"/>
  <c r="M59" i="39" s="1"/>
  <c r="U58" i="39"/>
  <c r="M58" i="39" s="1"/>
  <c r="U57" i="39"/>
  <c r="M57" i="39" s="1"/>
  <c r="U56" i="39"/>
  <c r="M56" i="39" s="1"/>
  <c r="U55" i="39"/>
  <c r="M55" i="39" s="1"/>
  <c r="AC55" i="39" s="1"/>
  <c r="U49" i="39"/>
  <c r="M49" i="39" s="1"/>
  <c r="U48" i="39"/>
  <c r="M48" i="39" s="1"/>
  <c r="AC48" i="39" s="1"/>
  <c r="U45" i="39"/>
  <c r="M45" i="39" s="1"/>
  <c r="AC45" i="39" s="1"/>
  <c r="U43" i="39"/>
  <c r="M43" i="39" s="1"/>
  <c r="AC43" i="39" s="1"/>
  <c r="U39" i="39"/>
  <c r="M39" i="39" s="1"/>
  <c r="U35" i="39"/>
  <c r="M35" i="39" s="1"/>
  <c r="U34" i="39"/>
  <c r="M34" i="39" s="1"/>
  <c r="AC34" i="39" l="1"/>
  <c r="AC57" i="39"/>
  <c r="Z57" i="39"/>
  <c r="U26" i="39"/>
  <c r="M26" i="39" s="1"/>
  <c r="U20" i="39"/>
  <c r="M20" i="39" s="1"/>
  <c r="U18" i="39"/>
  <c r="M18" i="39" s="1"/>
  <c r="AD99" i="39" l="1"/>
  <c r="AD57" i="39"/>
  <c r="AD11" i="39"/>
  <c r="AM39" i="38"/>
  <c r="AD107" i="39" l="1"/>
  <c r="AA107" i="39" s="1"/>
  <c r="AD105" i="39"/>
  <c r="AD102" i="39"/>
  <c r="AD98" i="39"/>
  <c r="AA98" i="39" s="1"/>
  <c r="AD95" i="39"/>
  <c r="AD85" i="39"/>
  <c r="AD83" i="39"/>
  <c r="AD81" i="39"/>
  <c r="AD77" i="39"/>
  <c r="AD75" i="39"/>
  <c r="AD71" i="39"/>
  <c r="AD69" i="39"/>
  <c r="AD66" i="39"/>
  <c r="AD64" i="39"/>
  <c r="AD61" i="39"/>
  <c r="AA57" i="39" s="1"/>
  <c r="AD55" i="39"/>
  <c r="AD50" i="39"/>
  <c r="AD48" i="39"/>
  <c r="AD45" i="39"/>
  <c r="AD43" i="39"/>
  <c r="AD41" i="39"/>
  <c r="AD38" i="39"/>
  <c r="AD36" i="39"/>
  <c r="AD34" i="39"/>
  <c r="AD29" i="39"/>
  <c r="AD28" i="39"/>
  <c r="AD25" i="39"/>
  <c r="AD23" i="39"/>
  <c r="AD21" i="39"/>
  <c r="AD16" i="39"/>
  <c r="AA10" i="39" s="1"/>
  <c r="AA46" i="39" l="1"/>
  <c r="AA29" i="39"/>
  <c r="AA50" i="39"/>
  <c r="AA36" i="39"/>
  <c r="AA40" i="39"/>
  <c r="AA82" i="39"/>
  <c r="AA63" i="39"/>
  <c r="AA102" i="39"/>
  <c r="Z127" i="39" l="1"/>
  <c r="AM47" i="38" s="1"/>
  <c r="L68" i="38" l="1"/>
  <c r="H68" i="38"/>
  <c r="B68" i="38"/>
  <c r="L66" i="38"/>
  <c r="H66" i="38"/>
  <c r="B66" i="38"/>
  <c r="L64" i="38"/>
  <c r="B64" i="38"/>
  <c r="U36" i="38"/>
  <c r="Z33" i="38"/>
  <c r="Z32" i="38"/>
  <c r="U28" i="38"/>
  <c r="U32" i="38" s="1"/>
  <c r="J19" i="38"/>
  <c r="G19" i="38"/>
  <c r="D19" i="38"/>
  <c r="J18" i="38"/>
  <c r="E18" i="38"/>
  <c r="J17" i="38"/>
  <c r="G17" i="38"/>
  <c r="E17" i="38"/>
  <c r="J16" i="38"/>
  <c r="G16" i="38"/>
  <c r="E16" i="38"/>
  <c r="D14" i="38"/>
  <c r="G13" i="38"/>
  <c r="D13" i="38"/>
  <c r="H12" i="38"/>
  <c r="D12" i="38"/>
  <c r="G11" i="38"/>
  <c r="D11" i="38"/>
  <c r="K10" i="38"/>
  <c r="D10" i="38"/>
  <c r="G9" i="38"/>
  <c r="D9" i="38"/>
  <c r="K8" i="38"/>
  <c r="G8" i="38"/>
  <c r="D8" i="38"/>
  <c r="O5" i="38"/>
  <c r="K5" i="38"/>
  <c r="T40" i="38" l="1"/>
  <c r="S40" i="38"/>
  <c r="U40" i="38"/>
  <c r="V28" i="38"/>
  <c r="V31" i="38" s="1"/>
  <c r="W28" i="38"/>
  <c r="W33" i="38" s="1"/>
  <c r="U31" i="38"/>
  <c r="U33" i="38"/>
  <c r="Y28" i="38"/>
  <c r="V37" i="38"/>
  <c r="H26" i="38"/>
  <c r="U30" i="38"/>
  <c r="H35" i="38"/>
  <c r="X28" i="38"/>
  <c r="W32" i="38" l="1"/>
  <c r="V33" i="38"/>
  <c r="V30" i="38"/>
  <c r="W31" i="38"/>
  <c r="V32" i="38"/>
  <c r="Y32" i="38"/>
  <c r="Y33" i="38"/>
  <c r="X32" i="38"/>
  <c r="X33" i="38"/>
  <c r="X31" i="38"/>
  <c r="B64" i="20" l="1"/>
  <c r="L64" i="20"/>
  <c r="I70" i="34" l="1"/>
  <c r="M67" i="34"/>
  <c r="P64" i="34"/>
  <c r="J55" i="34"/>
  <c r="I55" i="34"/>
  <c r="G55" i="34"/>
  <c r="G73" i="34" s="1"/>
  <c r="I47" i="34"/>
  <c r="F47" i="34"/>
  <c r="I46" i="34"/>
  <c r="F46" i="34"/>
  <c r="I45" i="34"/>
  <c r="F45" i="34"/>
  <c r="I44" i="34"/>
  <c r="F44" i="34"/>
  <c r="F42" i="34"/>
  <c r="P39" i="34"/>
  <c r="P38" i="34"/>
  <c r="P37" i="34"/>
  <c r="P32" i="34"/>
  <c r="K32" i="34"/>
  <c r="J32" i="34"/>
  <c r="I32" i="34"/>
  <c r="I28" i="34"/>
  <c r="F28" i="34"/>
  <c r="I27" i="34"/>
  <c r="F27" i="34"/>
  <c r="I26" i="34"/>
  <c r="F26" i="34"/>
  <c r="I25" i="34"/>
  <c r="F25" i="34"/>
  <c r="F23" i="34"/>
  <c r="K22" i="34"/>
  <c r="J22" i="34"/>
  <c r="I22" i="34"/>
  <c r="P13" i="34"/>
  <c r="G13" i="34"/>
  <c r="G39" i="34" s="1"/>
  <c r="P12" i="34"/>
  <c r="G12" i="34"/>
  <c r="G38" i="34" s="1"/>
  <c r="P11" i="34"/>
  <c r="G11" i="34"/>
  <c r="G37" i="34" s="1"/>
  <c r="N3" i="34"/>
  <c r="B3" i="34"/>
  <c r="N2" i="34"/>
  <c r="B2" i="34"/>
  <c r="P30" i="34" l="1"/>
  <c r="P77" i="34" s="1"/>
  <c r="P49" i="34"/>
  <c r="P78" i="34" s="1"/>
  <c r="V265" i="43" l="1"/>
  <c r="W265" i="43" s="1"/>
  <c r="X265" i="43" l="1"/>
  <c r="I265" i="43" l="1"/>
  <c r="J64" i="42" s="1"/>
  <c r="M64" i="42" l="1"/>
  <c r="J84" i="42"/>
  <c r="M84" i="42" s="1"/>
  <c r="J59" i="34"/>
  <c r="J73" i="34" s="1"/>
  <c r="I59" i="34" l="1"/>
  <c r="D12" i="20"/>
  <c r="H72" i="8"/>
  <c r="H70" i="8"/>
  <c r="H24" i="8"/>
  <c r="S40" i="8"/>
  <c r="M40" i="8" s="1"/>
  <c r="O24" i="8"/>
  <c r="L70" i="9"/>
  <c r="F96" i="3"/>
  <c r="U114" i="12"/>
  <c r="U113" i="12"/>
  <c r="U112" i="12"/>
  <c r="U111" i="12"/>
  <c r="U110" i="12"/>
  <c r="U109" i="12"/>
  <c r="X107" i="12"/>
  <c r="W107" i="12"/>
  <c r="V107" i="12"/>
  <c r="U107" i="12"/>
  <c r="T107" i="12"/>
  <c r="S107" i="12"/>
  <c r="R107" i="12"/>
  <c r="Q107" i="12"/>
  <c r="P107" i="12"/>
  <c r="O107" i="12"/>
  <c r="U36" i="20"/>
  <c r="H35" i="20" s="1"/>
  <c r="F114" i="3"/>
  <c r="D103" i="3" s="1"/>
  <c r="N66" i="41" s="1"/>
  <c r="M66" i="41" s="1"/>
  <c r="L71" i="42" s="1"/>
  <c r="M71" i="42" s="1"/>
  <c r="M73" i="42" s="1"/>
  <c r="M78" i="42" s="1"/>
  <c r="S75" i="8"/>
  <c r="M75" i="8" s="1"/>
  <c r="S96" i="39" s="1"/>
  <c r="T96" i="39" s="1"/>
  <c r="S77" i="8"/>
  <c r="S78" i="8"/>
  <c r="M78" i="8" s="1"/>
  <c r="S97" i="39" s="1"/>
  <c r="T97" i="39" s="1"/>
  <c r="S106" i="9"/>
  <c r="S107" i="9"/>
  <c r="S108" i="9"/>
  <c r="S90" i="8"/>
  <c r="S91" i="8"/>
  <c r="M91" i="8" s="1"/>
  <c r="S92" i="8"/>
  <c r="M92" i="8" s="1"/>
  <c r="S94" i="8"/>
  <c r="M94" i="8" s="1"/>
  <c r="F28" i="16"/>
  <c r="D8" i="16" s="1"/>
  <c r="D11" i="16" s="1"/>
  <c r="D7" i="9"/>
  <c r="Y6" i="8" s="1"/>
  <c r="S12" i="8"/>
  <c r="S13" i="8"/>
  <c r="M13" i="8" s="1"/>
  <c r="S15" i="8"/>
  <c r="S16" i="8"/>
  <c r="M16" i="8" s="1"/>
  <c r="S18" i="8"/>
  <c r="S21" i="8"/>
  <c r="S22" i="8"/>
  <c r="M22" i="8" s="1"/>
  <c r="S23" i="8"/>
  <c r="M23" i="8" s="1"/>
  <c r="K23" i="9" s="1"/>
  <c r="S42" i="8"/>
  <c r="M42" i="8" s="1"/>
  <c r="S44" i="8"/>
  <c r="M44" i="8" s="1"/>
  <c r="S63" i="8"/>
  <c r="H38" i="27"/>
  <c r="D36" i="7"/>
  <c r="K5" i="20"/>
  <c r="P12" i="3"/>
  <c r="P146" i="4"/>
  <c r="P56" i="12"/>
  <c r="P45" i="12"/>
  <c r="P24" i="12"/>
  <c r="S36" i="8"/>
  <c r="M36" i="8" s="1"/>
  <c r="L29" i="2"/>
  <c r="D18" i="2" s="1"/>
  <c r="N46" i="41" s="1"/>
  <c r="M46" i="41" s="1"/>
  <c r="L14" i="42" s="1"/>
  <c r="F187" i="2"/>
  <c r="H103" i="8"/>
  <c r="H102" i="8"/>
  <c r="H100" i="8"/>
  <c r="H99" i="8"/>
  <c r="H94" i="8"/>
  <c r="H92" i="8"/>
  <c r="H91" i="8"/>
  <c r="H90" i="8"/>
  <c r="H88" i="8"/>
  <c r="H87" i="8"/>
  <c r="H86" i="8"/>
  <c r="H85" i="8"/>
  <c r="H84" i="8"/>
  <c r="H83" i="8"/>
  <c r="H82" i="8"/>
  <c r="H78" i="8"/>
  <c r="H77" i="8"/>
  <c r="H75" i="8"/>
  <c r="H74" i="8"/>
  <c r="H66" i="8"/>
  <c r="H65" i="8"/>
  <c r="H64" i="8"/>
  <c r="H63" i="8"/>
  <c r="H61" i="8"/>
  <c r="H50" i="8"/>
  <c r="H47" i="8"/>
  <c r="H44" i="8"/>
  <c r="H42" i="8"/>
  <c r="H40" i="8"/>
  <c r="H38" i="8"/>
  <c r="H37" i="8"/>
  <c r="H36" i="8"/>
  <c r="H26" i="8"/>
  <c r="H23" i="8"/>
  <c r="H22" i="8"/>
  <c r="H21" i="8"/>
  <c r="H18" i="8"/>
  <c r="H16" i="8"/>
  <c r="H15" i="8"/>
  <c r="H13" i="8"/>
  <c r="H12" i="8"/>
  <c r="M3" i="8"/>
  <c r="M2" i="8"/>
  <c r="B2" i="8"/>
  <c r="M95" i="8"/>
  <c r="K95" i="9" s="1"/>
  <c r="M27" i="8"/>
  <c r="K27" i="9" s="1"/>
  <c r="O10" i="8"/>
  <c r="L10" i="9" s="1"/>
  <c r="O18" i="8"/>
  <c r="L18" i="9" s="1"/>
  <c r="O11" i="8"/>
  <c r="L11" i="9" s="1"/>
  <c r="O14" i="8"/>
  <c r="L14" i="9" s="1"/>
  <c r="O17" i="8"/>
  <c r="L17" i="9" s="1"/>
  <c r="O15" i="8"/>
  <c r="L15" i="9" s="1"/>
  <c r="O16" i="8"/>
  <c r="L16" i="9" s="1"/>
  <c r="O12" i="8"/>
  <c r="L12" i="9" s="1"/>
  <c r="O13" i="8"/>
  <c r="L13" i="9" s="1"/>
  <c r="O100" i="8"/>
  <c r="O99" i="8"/>
  <c r="O103" i="8"/>
  <c r="O102" i="8"/>
  <c r="O96" i="8"/>
  <c r="O95" i="8"/>
  <c r="O94" i="8"/>
  <c r="O93" i="8"/>
  <c r="O92" i="8"/>
  <c r="O91" i="8"/>
  <c r="O90" i="8"/>
  <c r="O89" i="8"/>
  <c r="O88" i="8"/>
  <c r="O87" i="8"/>
  <c r="O86" i="8"/>
  <c r="O85" i="8"/>
  <c r="O84" i="8"/>
  <c r="O83" i="8"/>
  <c r="O82" i="8"/>
  <c r="O81" i="8"/>
  <c r="O80" i="8"/>
  <c r="O79" i="8"/>
  <c r="O78" i="8"/>
  <c r="O77" i="8"/>
  <c r="O76" i="8"/>
  <c r="O75" i="8"/>
  <c r="O74" i="8"/>
  <c r="O73" i="8"/>
  <c r="O72" i="8"/>
  <c r="O70" i="8"/>
  <c r="O69" i="8"/>
  <c r="O68" i="8"/>
  <c r="V67" i="8"/>
  <c r="P67" i="8" s="1"/>
  <c r="O67" i="8"/>
  <c r="O66" i="8"/>
  <c r="O65" i="8"/>
  <c r="O64" i="8"/>
  <c r="O63" i="8"/>
  <c r="O62" i="8"/>
  <c r="O61" i="8"/>
  <c r="O60" i="8"/>
  <c r="O54" i="8"/>
  <c r="O52" i="8"/>
  <c r="L52" i="9" s="1"/>
  <c r="H52" i="9" s="1"/>
  <c r="O51" i="8"/>
  <c r="O50" i="8"/>
  <c r="O47" i="8"/>
  <c r="O46" i="8"/>
  <c r="O41" i="8"/>
  <c r="O40" i="8"/>
  <c r="O38" i="8"/>
  <c r="O37" i="8"/>
  <c r="O36" i="8"/>
  <c r="O35" i="8"/>
  <c r="O34" i="8"/>
  <c r="O28" i="8"/>
  <c r="O27" i="8"/>
  <c r="O26" i="8"/>
  <c r="O25" i="8"/>
  <c r="O23" i="8"/>
  <c r="O22" i="8"/>
  <c r="O21" i="8"/>
  <c r="O20" i="8"/>
  <c r="O19" i="8"/>
  <c r="L19" i="9" s="1"/>
  <c r="M96" i="8"/>
  <c r="M79" i="8"/>
  <c r="M68" i="8"/>
  <c r="M67" i="8"/>
  <c r="M19" i="8"/>
  <c r="K19" i="9" s="1"/>
  <c r="T67" i="8"/>
  <c r="N67" i="8" s="1"/>
  <c r="Q95" i="8"/>
  <c r="Q19" i="8"/>
  <c r="E5" i="8"/>
  <c r="AA8" i="8"/>
  <c r="Y8" i="8"/>
  <c r="AA6" i="8"/>
  <c r="M60" i="8"/>
  <c r="M34" i="8"/>
  <c r="D27" i="4"/>
  <c r="S83" i="8" s="1"/>
  <c r="M83" i="8" s="1"/>
  <c r="K83" i="9" s="1"/>
  <c r="D84" i="6"/>
  <c r="D87" i="6" s="1"/>
  <c r="F114" i="6"/>
  <c r="D100" i="6" s="1"/>
  <c r="F57" i="6"/>
  <c r="D42" i="6" s="1"/>
  <c r="D11" i="4"/>
  <c r="S82" i="8" s="1"/>
  <c r="F52" i="4"/>
  <c r="D42" i="4" s="1"/>
  <c r="S84" i="8" s="1"/>
  <c r="M84" i="8" s="1"/>
  <c r="K84" i="9" s="1"/>
  <c r="F69" i="4"/>
  <c r="D58" i="4" s="1"/>
  <c r="S85" i="8" s="1"/>
  <c r="M85" i="8" s="1"/>
  <c r="F89" i="4"/>
  <c r="H89" i="4"/>
  <c r="L92" i="4"/>
  <c r="F113" i="4"/>
  <c r="H113" i="4"/>
  <c r="L116" i="4"/>
  <c r="D122" i="4"/>
  <c r="D126" i="4" s="1"/>
  <c r="P135" i="2"/>
  <c r="P137" i="2"/>
  <c r="D194" i="2"/>
  <c r="S53" i="8" s="1"/>
  <c r="M53" i="8" s="1"/>
  <c r="K53" i="9" s="1"/>
  <c r="D51" i="16"/>
  <c r="D66" i="16"/>
  <c r="F100" i="16"/>
  <c r="D142" i="12"/>
  <c r="AY99" i="9"/>
  <c r="AY102" i="9"/>
  <c r="AY97" i="9"/>
  <c r="L9" i="9"/>
  <c r="L34" i="9"/>
  <c r="L60" i="9"/>
  <c r="L68" i="9"/>
  <c r="L79" i="9"/>
  <c r="L96" i="9"/>
  <c r="L69" i="9"/>
  <c r="L73" i="9"/>
  <c r="L76" i="9"/>
  <c r="L74" i="9"/>
  <c r="L75" i="9"/>
  <c r="L77" i="9"/>
  <c r="L78" i="9"/>
  <c r="L80" i="9"/>
  <c r="L89" i="9"/>
  <c r="L93" i="9"/>
  <c r="L81" i="9"/>
  <c r="H81" i="9" s="1"/>
  <c r="L85" i="9"/>
  <c r="H85" i="9" s="1"/>
  <c r="L86" i="9"/>
  <c r="H86" i="9" s="1"/>
  <c r="L87" i="9"/>
  <c r="H87" i="9" s="1"/>
  <c r="L88" i="9"/>
  <c r="H88" i="9" s="1"/>
  <c r="L82" i="9"/>
  <c r="H82" i="9" s="1"/>
  <c r="L83" i="9"/>
  <c r="H83" i="9" s="1"/>
  <c r="L84" i="9"/>
  <c r="H84" i="9" s="1"/>
  <c r="L90" i="9"/>
  <c r="H90" i="9" s="1"/>
  <c r="L91" i="9"/>
  <c r="L92" i="9"/>
  <c r="L94" i="9"/>
  <c r="L95" i="9"/>
  <c r="L103" i="9"/>
  <c r="L104" i="9"/>
  <c r="L100" i="9"/>
  <c r="L101" i="9"/>
  <c r="H12" i="20"/>
  <c r="J19" i="20"/>
  <c r="J18" i="20"/>
  <c r="J17" i="20"/>
  <c r="J16" i="20"/>
  <c r="D14" i="20"/>
  <c r="G16" i="20"/>
  <c r="E16" i="20"/>
  <c r="E17" i="20"/>
  <c r="E18" i="20"/>
  <c r="G17" i="20"/>
  <c r="G8" i="20"/>
  <c r="K10" i="20"/>
  <c r="K8" i="20"/>
  <c r="G19" i="20"/>
  <c r="G13" i="20"/>
  <c r="G11" i="20"/>
  <c r="O5" i="20"/>
  <c r="D8" i="20"/>
  <c r="D10" i="20"/>
  <c r="D13" i="20"/>
  <c r="D11" i="20"/>
  <c r="D19" i="20"/>
  <c r="D9" i="20"/>
  <c r="G9" i="20"/>
  <c r="U28" i="20"/>
  <c r="U31" i="20" s="1"/>
  <c r="Z32" i="20"/>
  <c r="Z33" i="20"/>
  <c r="B66" i="20"/>
  <c r="H66" i="20"/>
  <c r="L66" i="20"/>
  <c r="B68" i="20"/>
  <c r="H68" i="20"/>
  <c r="L68" i="20"/>
  <c r="V142" i="3"/>
  <c r="W142" i="3"/>
  <c r="X142" i="3"/>
  <c r="V131" i="3"/>
  <c r="W131" i="3"/>
  <c r="X131" i="3"/>
  <c r="V119" i="3"/>
  <c r="W119" i="3"/>
  <c r="X119" i="3"/>
  <c r="V102" i="3"/>
  <c r="W102" i="3"/>
  <c r="X102" i="3"/>
  <c r="V69" i="3"/>
  <c r="W69" i="3"/>
  <c r="X69" i="3"/>
  <c r="U142" i="3"/>
  <c r="T142" i="3"/>
  <c r="S142" i="3"/>
  <c r="R142" i="3"/>
  <c r="Q142" i="3"/>
  <c r="U131" i="3"/>
  <c r="T131" i="3"/>
  <c r="S131" i="3"/>
  <c r="R131" i="3"/>
  <c r="Q131" i="3"/>
  <c r="U119" i="3"/>
  <c r="T119" i="3"/>
  <c r="S119" i="3"/>
  <c r="R119" i="3"/>
  <c r="Q119" i="3"/>
  <c r="U102" i="3"/>
  <c r="T102" i="3"/>
  <c r="S102" i="3"/>
  <c r="R102" i="3"/>
  <c r="Q102" i="3"/>
  <c r="U69" i="3"/>
  <c r="T69" i="3"/>
  <c r="S69" i="3"/>
  <c r="R69" i="3"/>
  <c r="Q69" i="3"/>
  <c r="U9" i="3"/>
  <c r="U148" i="3"/>
  <c r="U147" i="3"/>
  <c r="U146" i="3"/>
  <c r="U145" i="3"/>
  <c r="U144" i="3"/>
  <c r="P148" i="3"/>
  <c r="P147" i="3"/>
  <c r="P146" i="3"/>
  <c r="U137" i="3"/>
  <c r="U136" i="3"/>
  <c r="U135" i="3"/>
  <c r="U134" i="3"/>
  <c r="U133" i="3"/>
  <c r="P137" i="3"/>
  <c r="P136" i="3"/>
  <c r="P135" i="3"/>
  <c r="P133" i="3"/>
  <c r="U125" i="3"/>
  <c r="U124" i="3"/>
  <c r="U123" i="3"/>
  <c r="U122" i="3"/>
  <c r="U121" i="3"/>
  <c r="P125" i="3"/>
  <c r="P124" i="3"/>
  <c r="P123" i="3"/>
  <c r="U109" i="3"/>
  <c r="U108" i="3"/>
  <c r="U107" i="3"/>
  <c r="U106" i="3"/>
  <c r="U105" i="3"/>
  <c r="U104" i="3"/>
  <c r="P108" i="3"/>
  <c r="P107" i="3"/>
  <c r="P106" i="3"/>
  <c r="P104" i="3"/>
  <c r="U76" i="3"/>
  <c r="U75" i="3"/>
  <c r="U74" i="3"/>
  <c r="U73" i="3"/>
  <c r="U72" i="3"/>
  <c r="U71" i="3"/>
  <c r="P75" i="3"/>
  <c r="P74" i="3"/>
  <c r="P73" i="3"/>
  <c r="P71" i="3"/>
  <c r="P13" i="3"/>
  <c r="P11" i="3"/>
  <c r="P10" i="3"/>
  <c r="P9" i="3"/>
  <c r="U13" i="3"/>
  <c r="U12" i="3"/>
  <c r="U11" i="3"/>
  <c r="U10" i="3"/>
  <c r="Q94" i="3"/>
  <c r="Q93" i="3"/>
  <c r="Y3" i="3"/>
  <c r="Q3" i="3"/>
  <c r="Y5" i="3"/>
  <c r="D134" i="3"/>
  <c r="D123" i="3"/>
  <c r="D148" i="3"/>
  <c r="D147" i="3"/>
  <c r="D146" i="3"/>
  <c r="D145" i="3"/>
  <c r="D144" i="3"/>
  <c r="D137" i="3"/>
  <c r="D136" i="3"/>
  <c r="D135" i="3"/>
  <c r="D133" i="3"/>
  <c r="D125" i="3"/>
  <c r="D124" i="3"/>
  <c r="D122" i="3"/>
  <c r="D121" i="3"/>
  <c r="U34" i="4"/>
  <c r="P8" i="4"/>
  <c r="J8" i="4" s="1"/>
  <c r="U79" i="4"/>
  <c r="U64" i="4"/>
  <c r="U63" i="4"/>
  <c r="U62" i="4"/>
  <c r="U61" i="4"/>
  <c r="U60" i="4"/>
  <c r="U59" i="4"/>
  <c r="P63" i="4"/>
  <c r="P62" i="4"/>
  <c r="P61" i="4"/>
  <c r="U179" i="4"/>
  <c r="P179" i="4"/>
  <c r="U178" i="4"/>
  <c r="U177" i="4"/>
  <c r="P177" i="4"/>
  <c r="U176" i="4"/>
  <c r="U175" i="4"/>
  <c r="X173" i="4"/>
  <c r="W173" i="4"/>
  <c r="V173" i="4"/>
  <c r="U173" i="4"/>
  <c r="T173" i="4"/>
  <c r="S173" i="4"/>
  <c r="R173" i="4"/>
  <c r="Q173" i="4"/>
  <c r="P173" i="4"/>
  <c r="O173" i="4"/>
  <c r="U167" i="4"/>
  <c r="P167" i="4"/>
  <c r="U166" i="4"/>
  <c r="U165" i="4"/>
  <c r="P165" i="4"/>
  <c r="U164" i="4"/>
  <c r="U163" i="4"/>
  <c r="X161" i="4"/>
  <c r="W161" i="4"/>
  <c r="V161" i="4"/>
  <c r="U161" i="4"/>
  <c r="T161" i="4"/>
  <c r="S161" i="4"/>
  <c r="R161" i="4"/>
  <c r="Q161" i="4"/>
  <c r="P161" i="4"/>
  <c r="O161" i="4"/>
  <c r="U156" i="4"/>
  <c r="P156" i="4"/>
  <c r="U155" i="4"/>
  <c r="P155" i="4"/>
  <c r="U154" i="4"/>
  <c r="P154" i="4"/>
  <c r="U153" i="4"/>
  <c r="U152" i="4"/>
  <c r="X150" i="4"/>
  <c r="W150" i="4"/>
  <c r="V150" i="4"/>
  <c r="U150" i="4"/>
  <c r="T150" i="4"/>
  <c r="S150" i="4"/>
  <c r="R150" i="4"/>
  <c r="Q150" i="4"/>
  <c r="P150" i="4"/>
  <c r="O150" i="4"/>
  <c r="U145" i="4"/>
  <c r="P145" i="4"/>
  <c r="U144" i="4"/>
  <c r="U143" i="4"/>
  <c r="P143" i="4"/>
  <c r="U142" i="4"/>
  <c r="U141" i="4"/>
  <c r="X139" i="4"/>
  <c r="W139" i="4"/>
  <c r="V139" i="4"/>
  <c r="U139" i="4"/>
  <c r="S139" i="4"/>
  <c r="R139" i="4"/>
  <c r="Q139" i="4"/>
  <c r="P139" i="4"/>
  <c r="O139" i="4"/>
  <c r="U128" i="4"/>
  <c r="U127" i="4"/>
  <c r="P127" i="4"/>
  <c r="U126" i="4"/>
  <c r="U125" i="4"/>
  <c r="P125" i="4"/>
  <c r="U124" i="4"/>
  <c r="U123" i="4"/>
  <c r="X121" i="4"/>
  <c r="W121" i="4"/>
  <c r="V121" i="4"/>
  <c r="U121" i="4"/>
  <c r="S121" i="4"/>
  <c r="R121" i="4"/>
  <c r="Q121" i="4"/>
  <c r="P121" i="4"/>
  <c r="O121" i="4"/>
  <c r="U104" i="4"/>
  <c r="U103" i="4"/>
  <c r="P103" i="4"/>
  <c r="U102" i="4"/>
  <c r="P102" i="4"/>
  <c r="U101" i="4"/>
  <c r="P101" i="4"/>
  <c r="U100" i="4"/>
  <c r="U99" i="4"/>
  <c r="P99" i="4"/>
  <c r="X97" i="4"/>
  <c r="W97" i="4"/>
  <c r="V97" i="4"/>
  <c r="U97" i="4"/>
  <c r="S97" i="4"/>
  <c r="R97" i="4"/>
  <c r="Q97" i="4"/>
  <c r="O97" i="4"/>
  <c r="U81" i="4"/>
  <c r="U80" i="4"/>
  <c r="P80" i="4"/>
  <c r="P79" i="4"/>
  <c r="U78" i="4"/>
  <c r="P78" i="4"/>
  <c r="U77" i="4"/>
  <c r="U76" i="4"/>
  <c r="P76" i="4"/>
  <c r="X74" i="4"/>
  <c r="W74" i="4"/>
  <c r="V74" i="4"/>
  <c r="U74" i="4"/>
  <c r="S74" i="4"/>
  <c r="R74" i="4"/>
  <c r="Q74" i="4"/>
  <c r="O74" i="4"/>
  <c r="X57" i="4"/>
  <c r="W57" i="4"/>
  <c r="V57" i="4"/>
  <c r="U57" i="4"/>
  <c r="S57" i="4"/>
  <c r="R57" i="4"/>
  <c r="Q57" i="4"/>
  <c r="P57" i="4"/>
  <c r="O57" i="4"/>
  <c r="U48" i="4"/>
  <c r="U47" i="4"/>
  <c r="P47" i="4"/>
  <c r="U46" i="4"/>
  <c r="P46" i="4"/>
  <c r="U45" i="4"/>
  <c r="P45" i="4"/>
  <c r="U44" i="4"/>
  <c r="U43" i="4"/>
  <c r="X41" i="4"/>
  <c r="W41" i="4"/>
  <c r="V41" i="4"/>
  <c r="U41" i="4"/>
  <c r="S41" i="4"/>
  <c r="R41" i="4"/>
  <c r="P41" i="4"/>
  <c r="O41" i="4"/>
  <c r="D179" i="4"/>
  <c r="D178" i="4"/>
  <c r="D177" i="4"/>
  <c r="D176" i="4"/>
  <c r="D175" i="4"/>
  <c r="D167" i="4"/>
  <c r="D166" i="4"/>
  <c r="D165" i="4"/>
  <c r="D164" i="4"/>
  <c r="D163" i="4"/>
  <c r="D156" i="4"/>
  <c r="D155" i="4"/>
  <c r="D154" i="4"/>
  <c r="D153" i="4"/>
  <c r="D152" i="4"/>
  <c r="D145" i="4"/>
  <c r="D144" i="4"/>
  <c r="D143" i="4"/>
  <c r="D142" i="4"/>
  <c r="D141" i="4"/>
  <c r="D33" i="4"/>
  <c r="D32" i="4"/>
  <c r="D31" i="4"/>
  <c r="D30" i="4"/>
  <c r="D29" i="4"/>
  <c r="D17" i="4"/>
  <c r="D16" i="4"/>
  <c r="D15" i="4"/>
  <c r="D14" i="4"/>
  <c r="D13" i="4"/>
  <c r="P33" i="4"/>
  <c r="P32" i="4"/>
  <c r="P31" i="4"/>
  <c r="U33" i="4"/>
  <c r="U32" i="4"/>
  <c r="U31" i="4"/>
  <c r="U30" i="4"/>
  <c r="U29" i="4"/>
  <c r="Y27" i="4"/>
  <c r="X27" i="4"/>
  <c r="W27" i="4"/>
  <c r="V27" i="4"/>
  <c r="U27" i="4"/>
  <c r="S27" i="4"/>
  <c r="R27" i="4"/>
  <c r="Q27" i="4"/>
  <c r="P27" i="4"/>
  <c r="O27" i="4"/>
  <c r="U18" i="4"/>
  <c r="U17" i="4"/>
  <c r="U16" i="4"/>
  <c r="U15" i="4"/>
  <c r="U14" i="4"/>
  <c r="U13" i="4"/>
  <c r="P17" i="4"/>
  <c r="P16" i="4"/>
  <c r="P15" i="4"/>
  <c r="X11" i="4"/>
  <c r="W11" i="4"/>
  <c r="V11" i="4"/>
  <c r="U11" i="4"/>
  <c r="T11" i="4"/>
  <c r="S11" i="4"/>
  <c r="R11" i="4"/>
  <c r="Q11" i="4"/>
  <c r="P11" i="4"/>
  <c r="O11" i="4"/>
  <c r="V7" i="4"/>
  <c r="V5" i="4"/>
  <c r="V4" i="4"/>
  <c r="V3" i="4"/>
  <c r="Y42" i="4"/>
  <c r="Y41" i="4"/>
  <c r="M3" i="4"/>
  <c r="U14" i="6"/>
  <c r="U13" i="6"/>
  <c r="P13" i="6"/>
  <c r="U12" i="6"/>
  <c r="P12" i="6"/>
  <c r="U11" i="6"/>
  <c r="P11" i="6"/>
  <c r="U10" i="6"/>
  <c r="U9" i="6"/>
  <c r="P9" i="6"/>
  <c r="W7" i="6"/>
  <c r="V7" i="6"/>
  <c r="U7" i="6"/>
  <c r="T7" i="6"/>
  <c r="S7" i="6"/>
  <c r="R7" i="6"/>
  <c r="Q7" i="6"/>
  <c r="P7" i="6"/>
  <c r="O7" i="6"/>
  <c r="P62" i="6"/>
  <c r="O62" i="6"/>
  <c r="U69" i="6"/>
  <c r="U68" i="6"/>
  <c r="P68" i="6"/>
  <c r="U67" i="6"/>
  <c r="P67" i="6"/>
  <c r="U66" i="6"/>
  <c r="P66" i="6"/>
  <c r="U65" i="6"/>
  <c r="U64" i="6"/>
  <c r="P64" i="6"/>
  <c r="W62" i="6"/>
  <c r="V62" i="6"/>
  <c r="U62" i="6"/>
  <c r="T62" i="6"/>
  <c r="S62" i="6"/>
  <c r="R62" i="6"/>
  <c r="Q62" i="6"/>
  <c r="U48" i="6"/>
  <c r="U47" i="6"/>
  <c r="P47" i="6"/>
  <c r="U46" i="6"/>
  <c r="P46" i="6"/>
  <c r="U45" i="6"/>
  <c r="P45" i="6"/>
  <c r="U44" i="6"/>
  <c r="P44" i="6"/>
  <c r="U43" i="6"/>
  <c r="W41" i="6"/>
  <c r="V41" i="6"/>
  <c r="U41" i="6"/>
  <c r="T41" i="6"/>
  <c r="S41" i="6"/>
  <c r="R41" i="6"/>
  <c r="Q41" i="6"/>
  <c r="P41" i="6"/>
  <c r="O41" i="6"/>
  <c r="O99" i="6"/>
  <c r="W83" i="6"/>
  <c r="V83" i="6"/>
  <c r="U83" i="6"/>
  <c r="T83" i="6"/>
  <c r="S83" i="6"/>
  <c r="R83" i="6"/>
  <c r="Q83" i="6"/>
  <c r="P83" i="6"/>
  <c r="O83" i="6"/>
  <c r="Y99" i="6"/>
  <c r="P99" i="6"/>
  <c r="Q99" i="6"/>
  <c r="R99" i="6"/>
  <c r="S99" i="6"/>
  <c r="T99" i="6"/>
  <c r="U99" i="6"/>
  <c r="V99" i="6"/>
  <c r="W99" i="6"/>
  <c r="U106" i="6"/>
  <c r="U105" i="6"/>
  <c r="U104" i="6"/>
  <c r="U103" i="6"/>
  <c r="U102" i="6"/>
  <c r="U101" i="6"/>
  <c r="P105" i="6"/>
  <c r="P104" i="6"/>
  <c r="P103" i="6"/>
  <c r="U90" i="6"/>
  <c r="U89" i="6"/>
  <c r="U88" i="6"/>
  <c r="U87" i="6"/>
  <c r="U86" i="6"/>
  <c r="U85" i="6"/>
  <c r="P89" i="6"/>
  <c r="P88" i="6"/>
  <c r="P87" i="6"/>
  <c r="P85" i="6"/>
  <c r="M3" i="6"/>
  <c r="V3" i="6"/>
  <c r="V4" i="6"/>
  <c r="D148" i="12"/>
  <c r="X175" i="12"/>
  <c r="W175" i="12"/>
  <c r="V175" i="12"/>
  <c r="U175" i="12"/>
  <c r="T175" i="12"/>
  <c r="X142" i="12"/>
  <c r="W142" i="12"/>
  <c r="V142" i="12"/>
  <c r="U142" i="12"/>
  <c r="T142" i="12"/>
  <c r="S142" i="12"/>
  <c r="R142" i="12"/>
  <c r="Q142" i="12"/>
  <c r="P142" i="12"/>
  <c r="O142" i="12"/>
  <c r="X83" i="12"/>
  <c r="W83" i="12"/>
  <c r="V83" i="12"/>
  <c r="U83" i="12"/>
  <c r="T83" i="12"/>
  <c r="S83" i="12"/>
  <c r="R83" i="12"/>
  <c r="Q83" i="12"/>
  <c r="P83" i="12"/>
  <c r="O83" i="12"/>
  <c r="X72" i="12"/>
  <c r="W72" i="12"/>
  <c r="V72" i="12"/>
  <c r="U72" i="12"/>
  <c r="T72" i="12"/>
  <c r="S72" i="12"/>
  <c r="R72" i="12"/>
  <c r="Q72" i="12"/>
  <c r="P72" i="12"/>
  <c r="O72" i="12"/>
  <c r="X61" i="12"/>
  <c r="W61" i="12"/>
  <c r="V61" i="12"/>
  <c r="U61" i="12"/>
  <c r="T61" i="12"/>
  <c r="S61" i="12"/>
  <c r="R61" i="12"/>
  <c r="Q61" i="12"/>
  <c r="P61" i="12"/>
  <c r="O61" i="12"/>
  <c r="Y49" i="12"/>
  <c r="X49" i="12"/>
  <c r="W49" i="12"/>
  <c r="V49" i="12"/>
  <c r="U49" i="12"/>
  <c r="S49" i="12"/>
  <c r="R49" i="12"/>
  <c r="Q49" i="12"/>
  <c r="P49" i="12"/>
  <c r="O49" i="12"/>
  <c r="S38" i="12"/>
  <c r="R38" i="12"/>
  <c r="Q38" i="12"/>
  <c r="P38" i="12"/>
  <c r="S28" i="12"/>
  <c r="R28" i="12"/>
  <c r="Q28" i="12"/>
  <c r="P28" i="12"/>
  <c r="O28" i="12"/>
  <c r="P7" i="12"/>
  <c r="Q7" i="12"/>
  <c r="R7" i="12"/>
  <c r="S7" i="12"/>
  <c r="P17" i="12"/>
  <c r="Q17" i="12"/>
  <c r="R17" i="12"/>
  <c r="S17" i="12"/>
  <c r="O7" i="12"/>
  <c r="U181" i="12"/>
  <c r="U180" i="12"/>
  <c r="U179" i="12"/>
  <c r="U178" i="12"/>
  <c r="U177" i="12"/>
  <c r="P181" i="12"/>
  <c r="P180" i="12"/>
  <c r="P179" i="12"/>
  <c r="U149" i="12"/>
  <c r="U148" i="12"/>
  <c r="U147" i="12"/>
  <c r="U146" i="12"/>
  <c r="U145" i="12"/>
  <c r="U144" i="12"/>
  <c r="P146" i="12"/>
  <c r="P145" i="12"/>
  <c r="P144" i="12"/>
  <c r="U89" i="12"/>
  <c r="U88" i="12"/>
  <c r="U87" i="12"/>
  <c r="U86" i="12"/>
  <c r="U85" i="12"/>
  <c r="P89" i="12"/>
  <c r="P88" i="12"/>
  <c r="P87" i="12"/>
  <c r="U78" i="12"/>
  <c r="U77" i="12"/>
  <c r="U76" i="12"/>
  <c r="U75" i="12"/>
  <c r="U74" i="12"/>
  <c r="P78" i="12"/>
  <c r="P76" i="12"/>
  <c r="P75" i="12"/>
  <c r="U67" i="12"/>
  <c r="U66" i="12"/>
  <c r="U65" i="12"/>
  <c r="U64" i="12"/>
  <c r="U63" i="12"/>
  <c r="P67" i="12"/>
  <c r="P66" i="12"/>
  <c r="P65" i="12"/>
  <c r="U55" i="12"/>
  <c r="U54" i="12"/>
  <c r="U53" i="12"/>
  <c r="U52" i="12"/>
  <c r="U51" i="12"/>
  <c r="P55" i="12"/>
  <c r="P53" i="12"/>
  <c r="P51" i="12"/>
  <c r="P44" i="12"/>
  <c r="P42" i="12"/>
  <c r="P40" i="12"/>
  <c r="P34" i="12"/>
  <c r="P32" i="12"/>
  <c r="P30" i="12"/>
  <c r="P19" i="12"/>
  <c r="P23" i="12"/>
  <c r="P13" i="12"/>
  <c r="P22" i="12"/>
  <c r="P21" i="12"/>
  <c r="P11" i="12"/>
  <c r="P10" i="12"/>
  <c r="P9" i="12"/>
  <c r="V6" i="12"/>
  <c r="V5" i="12"/>
  <c r="V4" i="12"/>
  <c r="V3" i="12"/>
  <c r="D181" i="12"/>
  <c r="D180" i="12"/>
  <c r="D179" i="12"/>
  <c r="D178" i="12"/>
  <c r="D177" i="12"/>
  <c r="D89" i="12"/>
  <c r="D88" i="12"/>
  <c r="D87" i="12"/>
  <c r="D86" i="12"/>
  <c r="D78" i="12"/>
  <c r="D77" i="12"/>
  <c r="D76" i="12"/>
  <c r="D75" i="12"/>
  <c r="D74" i="12"/>
  <c r="D67" i="12"/>
  <c r="D66" i="12"/>
  <c r="D65" i="12"/>
  <c r="D64" i="12"/>
  <c r="D63" i="12"/>
  <c r="D55" i="12"/>
  <c r="D54" i="12"/>
  <c r="D53" i="12"/>
  <c r="D52" i="12"/>
  <c r="D51" i="12"/>
  <c r="D44" i="12"/>
  <c r="D43" i="12"/>
  <c r="D42" i="12"/>
  <c r="D41" i="12"/>
  <c r="D40" i="12"/>
  <c r="D33" i="12"/>
  <c r="D34" i="12"/>
  <c r="D32" i="12"/>
  <c r="D31" i="12"/>
  <c r="D30" i="12"/>
  <c r="D147" i="12"/>
  <c r="D146" i="12"/>
  <c r="D145" i="12"/>
  <c r="D144" i="12"/>
  <c r="D23" i="12"/>
  <c r="D22" i="12"/>
  <c r="D21" i="12"/>
  <c r="D20" i="12"/>
  <c r="D19" i="12"/>
  <c r="D9" i="12"/>
  <c r="D13" i="12"/>
  <c r="D12" i="12"/>
  <c r="D11" i="12"/>
  <c r="D10" i="12"/>
  <c r="V7" i="2"/>
  <c r="W7" i="2"/>
  <c r="X7" i="2"/>
  <c r="U194" i="2"/>
  <c r="O194" i="2"/>
  <c r="V194" i="2" s="1"/>
  <c r="Q194" i="2"/>
  <c r="X194" i="2" s="1"/>
  <c r="R194" i="2"/>
  <c r="Y194" i="2" s="1"/>
  <c r="U178" i="2"/>
  <c r="U226" i="2"/>
  <c r="P226" i="2"/>
  <c r="U225" i="2"/>
  <c r="P225" i="2"/>
  <c r="U224" i="2"/>
  <c r="P224" i="2"/>
  <c r="U223" i="2"/>
  <c r="P223" i="2"/>
  <c r="U222" i="2"/>
  <c r="X220" i="2"/>
  <c r="W220" i="2"/>
  <c r="V220" i="2"/>
  <c r="U220" i="2"/>
  <c r="T220" i="2"/>
  <c r="S220" i="2"/>
  <c r="R220" i="2"/>
  <c r="Q220" i="2"/>
  <c r="P220" i="2"/>
  <c r="O220" i="2"/>
  <c r="U202" i="2"/>
  <c r="U201" i="2"/>
  <c r="U200" i="2"/>
  <c r="P200" i="2"/>
  <c r="U199" i="2"/>
  <c r="P199" i="2"/>
  <c r="U198" i="2"/>
  <c r="P198" i="2"/>
  <c r="U197" i="2"/>
  <c r="S194" i="2"/>
  <c r="U181" i="2"/>
  <c r="U180" i="2"/>
  <c r="P180" i="2"/>
  <c r="U179" i="2"/>
  <c r="P179" i="2"/>
  <c r="P178" i="2"/>
  <c r="U177" i="2"/>
  <c r="U176" i="2"/>
  <c r="U133" i="2"/>
  <c r="U132" i="2"/>
  <c r="U131" i="2"/>
  <c r="P131" i="2"/>
  <c r="U130" i="2"/>
  <c r="P130" i="2"/>
  <c r="U129" i="2"/>
  <c r="U128" i="2"/>
  <c r="P128" i="2"/>
  <c r="X126" i="2"/>
  <c r="W126" i="2"/>
  <c r="V126" i="2"/>
  <c r="U126" i="2"/>
  <c r="T126" i="2"/>
  <c r="S126" i="2"/>
  <c r="R126" i="2"/>
  <c r="Q126" i="2"/>
  <c r="P126" i="2"/>
  <c r="O126" i="2"/>
  <c r="P109" i="2"/>
  <c r="P89" i="2"/>
  <c r="P108" i="2"/>
  <c r="P88" i="2"/>
  <c r="P107" i="2"/>
  <c r="P87" i="2"/>
  <c r="P85" i="2"/>
  <c r="S103" i="2"/>
  <c r="R103" i="2"/>
  <c r="S83" i="2"/>
  <c r="R83" i="2"/>
  <c r="O83" i="2"/>
  <c r="U78" i="2"/>
  <c r="P78" i="2"/>
  <c r="U77" i="2"/>
  <c r="P77" i="2"/>
  <c r="U76" i="2"/>
  <c r="P76" i="2"/>
  <c r="U75" i="2"/>
  <c r="U74" i="2"/>
  <c r="Y72" i="2"/>
  <c r="X72" i="2"/>
  <c r="W72" i="2"/>
  <c r="V72" i="2"/>
  <c r="U72" i="2"/>
  <c r="S72" i="2"/>
  <c r="R72" i="2"/>
  <c r="Q72" i="2"/>
  <c r="P72" i="2"/>
  <c r="O72" i="2"/>
  <c r="U41" i="2"/>
  <c r="U40" i="2"/>
  <c r="U39" i="2"/>
  <c r="P39" i="2"/>
  <c r="U38" i="2"/>
  <c r="P38" i="2"/>
  <c r="U37" i="2"/>
  <c r="P37" i="2"/>
  <c r="U36" i="2"/>
  <c r="P36" i="2"/>
  <c r="X34" i="2"/>
  <c r="W34" i="2"/>
  <c r="V34" i="2"/>
  <c r="U34" i="2"/>
  <c r="T34" i="2"/>
  <c r="S34" i="2"/>
  <c r="R34" i="2"/>
  <c r="Q34" i="2"/>
  <c r="O34" i="2"/>
  <c r="Q18" i="2"/>
  <c r="R18" i="2"/>
  <c r="S18" i="2"/>
  <c r="T18" i="2"/>
  <c r="U18" i="2"/>
  <c r="V18" i="2"/>
  <c r="W18" i="2"/>
  <c r="X18" i="2"/>
  <c r="U25" i="2"/>
  <c r="U24" i="2"/>
  <c r="U23" i="2"/>
  <c r="U22" i="2"/>
  <c r="U21" i="2"/>
  <c r="U20" i="2"/>
  <c r="P23" i="2"/>
  <c r="P22" i="2"/>
  <c r="P21" i="2"/>
  <c r="P20" i="2"/>
  <c r="U13" i="2"/>
  <c r="U12" i="2"/>
  <c r="U11" i="2"/>
  <c r="U10" i="2"/>
  <c r="U9" i="2"/>
  <c r="P13" i="2"/>
  <c r="P12" i="2"/>
  <c r="P11" i="2"/>
  <c r="D109" i="2"/>
  <c r="D226" i="2"/>
  <c r="D225" i="2"/>
  <c r="D224" i="2"/>
  <c r="D223" i="2"/>
  <c r="D222" i="2"/>
  <c r="D201" i="2"/>
  <c r="D200" i="2"/>
  <c r="D199" i="2"/>
  <c r="D198" i="2"/>
  <c r="D197" i="2"/>
  <c r="D132" i="2"/>
  <c r="D131" i="2"/>
  <c r="D130" i="2"/>
  <c r="D129" i="2"/>
  <c r="D128" i="2"/>
  <c r="D108" i="2"/>
  <c r="D107" i="2"/>
  <c r="D106" i="2"/>
  <c r="D105" i="2"/>
  <c r="D89" i="2"/>
  <c r="D88" i="2"/>
  <c r="D87" i="2"/>
  <c r="D86" i="2"/>
  <c r="D85" i="2"/>
  <c r="D78" i="2"/>
  <c r="D77" i="2"/>
  <c r="D76" i="2"/>
  <c r="D75" i="2"/>
  <c r="D74" i="2"/>
  <c r="D40" i="2"/>
  <c r="D39" i="2"/>
  <c r="D38" i="2"/>
  <c r="D37" i="2"/>
  <c r="D36" i="2"/>
  <c r="D24" i="2"/>
  <c r="D23" i="2"/>
  <c r="D22" i="2"/>
  <c r="D21" i="2"/>
  <c r="D20" i="2"/>
  <c r="D13" i="2"/>
  <c r="D12" i="2"/>
  <c r="D11" i="2"/>
  <c r="D10" i="2"/>
  <c r="D9" i="2"/>
  <c r="O18" i="2"/>
  <c r="U7" i="2"/>
  <c r="S7" i="2"/>
  <c r="R7" i="2"/>
  <c r="Q7" i="2"/>
  <c r="P7" i="2"/>
  <c r="O7" i="2"/>
  <c r="Y6" i="2"/>
  <c r="Y5" i="2"/>
  <c r="Y4" i="2"/>
  <c r="Y3" i="2"/>
  <c r="U14" i="16"/>
  <c r="U92" i="16"/>
  <c r="P92" i="16"/>
  <c r="U91" i="16"/>
  <c r="P91" i="16"/>
  <c r="U90" i="16"/>
  <c r="P90" i="16"/>
  <c r="U89" i="16"/>
  <c r="U88" i="16"/>
  <c r="X86" i="16"/>
  <c r="W86" i="16"/>
  <c r="V86" i="16"/>
  <c r="U86" i="16"/>
  <c r="T86" i="16"/>
  <c r="S86" i="16"/>
  <c r="R86" i="16"/>
  <c r="Q86" i="16"/>
  <c r="P86" i="16"/>
  <c r="O86" i="16"/>
  <c r="U72" i="16"/>
  <c r="U71" i="16"/>
  <c r="P71" i="16"/>
  <c r="U70" i="16"/>
  <c r="P70" i="16"/>
  <c r="U69" i="16"/>
  <c r="P69" i="16"/>
  <c r="U68" i="16"/>
  <c r="U67" i="16"/>
  <c r="X65" i="16"/>
  <c r="W65" i="16"/>
  <c r="V65" i="16"/>
  <c r="U65" i="16"/>
  <c r="T65" i="16"/>
  <c r="S65" i="16"/>
  <c r="R65" i="16"/>
  <c r="Q65" i="16"/>
  <c r="P65" i="16"/>
  <c r="O65" i="16"/>
  <c r="U52" i="16"/>
  <c r="U51" i="16"/>
  <c r="P51" i="16"/>
  <c r="U50" i="16"/>
  <c r="U49" i="16"/>
  <c r="P49" i="16"/>
  <c r="U48" i="16"/>
  <c r="U47" i="16"/>
  <c r="P47" i="16"/>
  <c r="X45" i="16"/>
  <c r="W45" i="16"/>
  <c r="V45" i="16"/>
  <c r="U45" i="16"/>
  <c r="T45" i="16"/>
  <c r="S45" i="16"/>
  <c r="R45" i="16"/>
  <c r="Q45" i="16"/>
  <c r="P45" i="16"/>
  <c r="O45" i="16"/>
  <c r="U40" i="16"/>
  <c r="P40" i="16"/>
  <c r="D40" i="16"/>
  <c r="U39" i="16"/>
  <c r="P39" i="16"/>
  <c r="D39" i="16"/>
  <c r="U38" i="16"/>
  <c r="P38" i="16"/>
  <c r="D38" i="16"/>
  <c r="U37" i="16"/>
  <c r="P37" i="16"/>
  <c r="D37" i="16"/>
  <c r="U36" i="16"/>
  <c r="P36" i="16"/>
  <c r="D36" i="16"/>
  <c r="X34" i="16"/>
  <c r="W34" i="16"/>
  <c r="V34" i="16"/>
  <c r="U34" i="16"/>
  <c r="T34" i="16"/>
  <c r="S34" i="16"/>
  <c r="R34" i="16"/>
  <c r="Q34" i="16"/>
  <c r="P34" i="16"/>
  <c r="O34" i="16"/>
  <c r="U13" i="16"/>
  <c r="P13" i="16"/>
  <c r="U12" i="16"/>
  <c r="P12" i="16"/>
  <c r="U11" i="16"/>
  <c r="P11" i="16"/>
  <c r="U10" i="16"/>
  <c r="U9" i="16"/>
  <c r="P9" i="16"/>
  <c r="X7" i="16"/>
  <c r="W7" i="16"/>
  <c r="V7" i="16"/>
  <c r="U7" i="16"/>
  <c r="T7" i="16"/>
  <c r="S7" i="16"/>
  <c r="R7" i="16"/>
  <c r="Q7" i="16"/>
  <c r="P7" i="16"/>
  <c r="O7" i="16"/>
  <c r="Y5" i="16"/>
  <c r="Y4" i="16"/>
  <c r="Y3" i="16"/>
  <c r="L99" i="9"/>
  <c r="L102" i="9"/>
  <c r="L97" i="9"/>
  <c r="D44" i="4" l="1"/>
  <c r="M55" i="42"/>
  <c r="M79" i="42"/>
  <c r="M91" i="42"/>
  <c r="M56" i="42"/>
  <c r="E92" i="3"/>
  <c r="D70" i="3" s="1"/>
  <c r="D75" i="3" s="1"/>
  <c r="E94" i="16"/>
  <c r="D71" i="16"/>
  <c r="S65" i="8"/>
  <c r="D175" i="2"/>
  <c r="D176" i="2" s="1"/>
  <c r="N49" i="41"/>
  <c r="M49" i="41" s="1"/>
  <c r="L15" i="42" s="1"/>
  <c r="S7" i="9"/>
  <c r="S71" i="9"/>
  <c r="R14" i="9"/>
  <c r="C14" i="9" s="1"/>
  <c r="S13" i="9"/>
  <c r="S11" i="9"/>
  <c r="S40" i="20"/>
  <c r="T40" i="20"/>
  <c r="U40" i="20"/>
  <c r="M77" i="8"/>
  <c r="K77" i="9" s="1"/>
  <c r="K42" i="9"/>
  <c r="M18" i="8"/>
  <c r="S15" i="39" s="1"/>
  <c r="T15" i="39" s="1"/>
  <c r="J15" i="39" s="1"/>
  <c r="M15" i="8"/>
  <c r="K15" i="9" s="1"/>
  <c r="M12" i="8"/>
  <c r="S11" i="39" s="1"/>
  <c r="T11" i="39" s="1"/>
  <c r="M21" i="8"/>
  <c r="K21" i="9" s="1"/>
  <c r="M63" i="8"/>
  <c r="S78" i="39" s="1"/>
  <c r="T78" i="39" s="1"/>
  <c r="M82" i="8"/>
  <c r="K82" i="9" s="1"/>
  <c r="K91" i="9"/>
  <c r="S91" i="39"/>
  <c r="T91" i="39" s="1"/>
  <c r="M90" i="8"/>
  <c r="K90" i="9" s="1"/>
  <c r="S26" i="8"/>
  <c r="R23" i="9"/>
  <c r="C23" i="9" s="1"/>
  <c r="R71" i="9"/>
  <c r="C71" i="9" s="1"/>
  <c r="S23" i="9"/>
  <c r="K94" i="9"/>
  <c r="S93" i="39"/>
  <c r="T93" i="39" s="1"/>
  <c r="K85" i="9"/>
  <c r="S86" i="39"/>
  <c r="T86" i="39" s="1"/>
  <c r="K75" i="9"/>
  <c r="S42" i="39"/>
  <c r="T42" i="39" s="1"/>
  <c r="K44" i="9"/>
  <c r="S74" i="39"/>
  <c r="T74" i="39" s="1"/>
  <c r="K40" i="9"/>
  <c r="S72" i="39"/>
  <c r="T72" i="39" s="1"/>
  <c r="K92" i="9"/>
  <c r="S92" i="39"/>
  <c r="T92" i="39" s="1"/>
  <c r="K78" i="9"/>
  <c r="K36" i="9"/>
  <c r="S66" i="39"/>
  <c r="T66" i="39" s="1"/>
  <c r="K22" i="9"/>
  <c r="S17" i="39"/>
  <c r="T17" i="39" s="1"/>
  <c r="K16" i="9"/>
  <c r="S53" i="39"/>
  <c r="T53" i="39" s="1"/>
  <c r="S14" i="39"/>
  <c r="T14" i="39" s="1"/>
  <c r="S32" i="39"/>
  <c r="T32" i="39" s="1"/>
  <c r="K13" i="9"/>
  <c r="S51" i="39"/>
  <c r="T51" i="39" s="1"/>
  <c r="S30" i="39"/>
  <c r="T30" i="39" s="1"/>
  <c r="S12" i="39"/>
  <c r="T12" i="39" s="1"/>
  <c r="V37" i="20"/>
  <c r="D105" i="3"/>
  <c r="L37" i="34"/>
  <c r="H26" i="20"/>
  <c r="D43" i="4"/>
  <c r="Y28" i="20"/>
  <c r="Y32" i="20" s="1"/>
  <c r="D125" i="4"/>
  <c r="L138" i="2"/>
  <c r="D126" i="2" s="1"/>
  <c r="D125" i="2" s="1"/>
  <c r="S78" i="9"/>
  <c r="R87" i="9"/>
  <c r="C87" i="9" s="1"/>
  <c r="P92" i="9"/>
  <c r="B92" i="9" s="1"/>
  <c r="P72" i="9"/>
  <c r="B72" i="9" s="1"/>
  <c r="Q80" i="9"/>
  <c r="S38" i="9"/>
  <c r="D70" i="16"/>
  <c r="S99" i="8"/>
  <c r="D46" i="6"/>
  <c r="D47" i="6"/>
  <c r="P87" i="9"/>
  <c r="B87" i="9" s="1"/>
  <c r="P91" i="9"/>
  <c r="B91" i="9" s="1"/>
  <c r="R41" i="9"/>
  <c r="C41" i="9" s="1"/>
  <c r="R11" i="9"/>
  <c r="C11" i="9" s="1"/>
  <c r="P64" i="9"/>
  <c r="B64" i="9" s="1"/>
  <c r="Q100" i="9"/>
  <c r="R28" i="9"/>
  <c r="C28" i="9" s="1"/>
  <c r="R34" i="9"/>
  <c r="C34" i="9" s="1"/>
  <c r="R85" i="9"/>
  <c r="C85" i="9" s="1"/>
  <c r="Q42" i="9"/>
  <c r="R38" i="9"/>
  <c r="C38" i="9" s="1"/>
  <c r="Q73" i="9"/>
  <c r="S83" i="9"/>
  <c r="R98" i="9"/>
  <c r="C98" i="9" s="1"/>
  <c r="R94" i="9"/>
  <c r="C94" i="9" s="1"/>
  <c r="S103" i="9"/>
  <c r="S86" i="9"/>
  <c r="S98" i="9"/>
  <c r="P18" i="9"/>
  <c r="B18" i="9" s="1"/>
  <c r="R70" i="9"/>
  <c r="C70" i="9" s="1"/>
  <c r="Q9" i="9"/>
  <c r="R66" i="9"/>
  <c r="P25" i="9"/>
  <c r="B25" i="9" s="1"/>
  <c r="S85" i="9"/>
  <c r="P76" i="9"/>
  <c r="B76" i="9" s="1"/>
  <c r="E103" i="2"/>
  <c r="Q103" i="2" s="1"/>
  <c r="R104" i="9"/>
  <c r="C104" i="9" s="1"/>
  <c r="P79" i="9"/>
  <c r="S26" i="9"/>
  <c r="P38" i="9"/>
  <c r="B38" i="9" s="1"/>
  <c r="Q21" i="9"/>
  <c r="R35" i="9"/>
  <c r="C35" i="9" s="1"/>
  <c r="S79" i="9"/>
  <c r="S73" i="9"/>
  <c r="Q89" i="9"/>
  <c r="S90" i="9"/>
  <c r="Q81" i="9"/>
  <c r="P70" i="9"/>
  <c r="B70" i="9" s="1"/>
  <c r="Q12" i="9"/>
  <c r="S18" i="9"/>
  <c r="S63" i="9"/>
  <c r="P16" i="9"/>
  <c r="B16" i="9" s="1"/>
  <c r="R12" i="9"/>
  <c r="C12" i="9" s="1"/>
  <c r="P41" i="9"/>
  <c r="B41" i="9" s="1"/>
  <c r="R9" i="9"/>
  <c r="C9" i="9" s="1"/>
  <c r="Q72" i="9"/>
  <c r="Q41" i="9"/>
  <c r="Q25" i="9"/>
  <c r="S62" i="9"/>
  <c r="Q69" i="9"/>
  <c r="R36" i="9"/>
  <c r="C36" i="9" s="1"/>
  <c r="Q37" i="9"/>
  <c r="Q97" i="9"/>
  <c r="S60" i="9"/>
  <c r="S65" i="9"/>
  <c r="S104" i="9"/>
  <c r="S20" i="9"/>
  <c r="R96" i="9"/>
  <c r="C96" i="9" s="1"/>
  <c r="S70" i="9"/>
  <c r="Q17" i="9"/>
  <c r="R17" i="9"/>
  <c r="C17" i="9" s="1"/>
  <c r="Q16" i="9"/>
  <c r="R64" i="9"/>
  <c r="C64" i="9" s="1"/>
  <c r="S21" i="9"/>
  <c r="P62" i="9"/>
  <c r="B62" i="9" s="1"/>
  <c r="Q62" i="9"/>
  <c r="R40" i="9"/>
  <c r="C40" i="9" s="1"/>
  <c r="P61" i="9"/>
  <c r="B61" i="9" s="1"/>
  <c r="R42" i="9"/>
  <c r="S66" i="9"/>
  <c r="R86" i="9"/>
  <c r="C86" i="9" s="1"/>
  <c r="R67" i="9"/>
  <c r="C67" i="9" s="1"/>
  <c r="P73" i="9"/>
  <c r="B73" i="9" s="1"/>
  <c r="Q79" i="9"/>
  <c r="Q76" i="9"/>
  <c r="P8" i="9"/>
  <c r="R81" i="9"/>
  <c r="C81" i="9" s="1"/>
  <c r="P22" i="9"/>
  <c r="B22" i="9" s="1"/>
  <c r="R84" i="9"/>
  <c r="S28" i="9"/>
  <c r="Q18" i="9"/>
  <c r="R83" i="9"/>
  <c r="P103" i="9"/>
  <c r="B103" i="9" s="1"/>
  <c r="R26" i="9"/>
  <c r="C26" i="9" s="1"/>
  <c r="P66" i="9"/>
  <c r="B66" i="9" s="1"/>
  <c r="R13" i="9"/>
  <c r="C13" i="9" s="1"/>
  <c r="R91" i="9"/>
  <c r="C91" i="9" s="1"/>
  <c r="P94" i="9"/>
  <c r="B94" i="9" s="1"/>
  <c r="P21" i="9"/>
  <c r="B21" i="9" s="1"/>
  <c r="D108" i="3"/>
  <c r="S82" i="9"/>
  <c r="P82" i="9"/>
  <c r="B82" i="9" s="1"/>
  <c r="P97" i="9"/>
  <c r="B97" i="9" s="1"/>
  <c r="Q91" i="9"/>
  <c r="P77" i="9"/>
  <c r="B77" i="9" s="1"/>
  <c r="S17" i="9"/>
  <c r="P15" i="9"/>
  <c r="B15" i="9" s="1"/>
  <c r="Q66" i="9"/>
  <c r="R72" i="9"/>
  <c r="C72" i="9" s="1"/>
  <c r="R95" i="9"/>
  <c r="C95" i="9" s="1"/>
  <c r="P86" i="9"/>
  <c r="B86" i="9" s="1"/>
  <c r="Q83" i="9"/>
  <c r="S35" i="9"/>
  <c r="R75" i="9"/>
  <c r="C75" i="9" s="1"/>
  <c r="Q90" i="9"/>
  <c r="R61" i="9"/>
  <c r="C61" i="9" s="1"/>
  <c r="Q35" i="9"/>
  <c r="Q92" i="9"/>
  <c r="Q68" i="9"/>
  <c r="P104" i="9"/>
  <c r="B104" i="9" s="1"/>
  <c r="R92" i="9"/>
  <c r="C92" i="9" s="1"/>
  <c r="Q20" i="9"/>
  <c r="P26" i="9"/>
  <c r="B26" i="9" s="1"/>
  <c r="Q38" i="9"/>
  <c r="S10" i="9"/>
  <c r="P90" i="9"/>
  <c r="B90" i="9" s="1"/>
  <c r="Q11" i="9"/>
  <c r="R69" i="9"/>
  <c r="C69" i="9" s="1"/>
  <c r="R10" i="9"/>
  <c r="C10" i="9" s="1"/>
  <c r="P63" i="9"/>
  <c r="B63" i="9" s="1"/>
  <c r="R103" i="9"/>
  <c r="C103" i="9" s="1"/>
  <c r="P96" i="9"/>
  <c r="P83" i="9"/>
  <c r="B83" i="9" s="1"/>
  <c r="P34" i="9"/>
  <c r="R89" i="9"/>
  <c r="C89" i="9" s="1"/>
  <c r="Q101" i="9"/>
  <c r="P81" i="9"/>
  <c r="B81" i="9" s="1"/>
  <c r="P95" i="9"/>
  <c r="B95" i="9" s="1"/>
  <c r="R78" i="9"/>
  <c r="C78" i="9" s="1"/>
  <c r="R15" i="9"/>
  <c r="C15" i="9" s="1"/>
  <c r="Q95" i="9"/>
  <c r="Q13" i="9"/>
  <c r="Q93" i="9"/>
  <c r="P9" i="9"/>
  <c r="P65" i="9"/>
  <c r="B65" i="9" s="1"/>
  <c r="P68" i="9"/>
  <c r="R101" i="9"/>
  <c r="C101" i="9" s="1"/>
  <c r="S91" i="9"/>
  <c r="S77" i="9"/>
  <c r="S76" i="9"/>
  <c r="S88" i="9"/>
  <c r="R93" i="9"/>
  <c r="C93" i="9" s="1"/>
  <c r="Q86" i="9"/>
  <c r="Q10" i="9"/>
  <c r="Q63" i="9"/>
  <c r="S68" i="9"/>
  <c r="S87" i="9"/>
  <c r="S100" i="9"/>
  <c r="R18" i="9"/>
  <c r="C18" i="9" s="1"/>
  <c r="Q27" i="9"/>
  <c r="R102" i="9"/>
  <c r="C102" i="9" s="1"/>
  <c r="S99" i="9"/>
  <c r="S80" i="9"/>
  <c r="P74" i="9"/>
  <c r="B74" i="9" s="1"/>
  <c r="R63" i="9"/>
  <c r="C63" i="9" s="1"/>
  <c r="S64" i="9"/>
  <c r="R8" i="9"/>
  <c r="C8" i="9" s="1"/>
  <c r="S24" i="9"/>
  <c r="R88" i="9"/>
  <c r="C88" i="9" s="1"/>
  <c r="P60" i="9"/>
  <c r="R74" i="9"/>
  <c r="C74" i="9" s="1"/>
  <c r="R79" i="9"/>
  <c r="C79" i="9" s="1"/>
  <c r="R100" i="9"/>
  <c r="C100" i="9" s="1"/>
  <c r="R25" i="9"/>
  <c r="C25" i="9" s="1"/>
  <c r="S61" i="9"/>
  <c r="P67" i="9"/>
  <c r="S36" i="9"/>
  <c r="Q88" i="9"/>
  <c r="R82" i="9"/>
  <c r="Q22" i="9"/>
  <c r="Q84" i="9"/>
  <c r="R90" i="9"/>
  <c r="C90" i="9" s="1"/>
  <c r="P89" i="9"/>
  <c r="B89" i="9" s="1"/>
  <c r="S25" i="9"/>
  <c r="Q61" i="9"/>
  <c r="Q96" i="9"/>
  <c r="P88" i="9"/>
  <c r="B88" i="9" s="1"/>
  <c r="S95" i="9"/>
  <c r="S37" i="9"/>
  <c r="Q74" i="9"/>
  <c r="Q99" i="9"/>
  <c r="R99" i="9"/>
  <c r="C99" i="9" s="1"/>
  <c r="S96" i="9"/>
  <c r="S81" i="9"/>
  <c r="Q60" i="9"/>
  <c r="P69" i="9"/>
  <c r="B69" i="9" s="1"/>
  <c r="S75" i="9"/>
  <c r="S72" i="9"/>
  <c r="S74" i="9"/>
  <c r="P14" i="9"/>
  <c r="B14" i="9" s="1"/>
  <c r="Q82" i="9"/>
  <c r="P37" i="9"/>
  <c r="B37" i="9" s="1"/>
  <c r="R22" i="9"/>
  <c r="C22" i="9" s="1"/>
  <c r="R80" i="9"/>
  <c r="C80" i="9" s="1"/>
  <c r="R16" i="9"/>
  <c r="C16" i="9" s="1"/>
  <c r="P12" i="9"/>
  <c r="B12" i="9" s="1"/>
  <c r="S15" i="9"/>
  <c r="S92" i="9"/>
  <c r="R21" i="9"/>
  <c r="C21" i="9" s="1"/>
  <c r="P35" i="9"/>
  <c r="B35" i="9" s="1"/>
  <c r="R37" i="9"/>
  <c r="C37" i="9" s="1"/>
  <c r="P10" i="9"/>
  <c r="B10" i="9" s="1"/>
  <c r="S40" i="9"/>
  <c r="R62" i="9"/>
  <c r="C62" i="9" s="1"/>
  <c r="Q87" i="9"/>
  <c r="P85" i="9"/>
  <c r="B85" i="9" s="1"/>
  <c r="R68" i="9"/>
  <c r="C68" i="9" s="1"/>
  <c r="R77" i="9"/>
  <c r="C77" i="9" s="1"/>
  <c r="P98" i="9"/>
  <c r="B98" i="9" s="1"/>
  <c r="P75" i="9"/>
  <c r="B75" i="9" s="1"/>
  <c r="Q78" i="9"/>
  <c r="S14" i="9"/>
  <c r="S34" i="9"/>
  <c r="Q85" i="9"/>
  <c r="P20" i="9"/>
  <c r="B20" i="9" s="1"/>
  <c r="R97" i="9"/>
  <c r="C97" i="9" s="1"/>
  <c r="Q28" i="9"/>
  <c r="Q103" i="9"/>
  <c r="Q65" i="9"/>
  <c r="Q102" i="9"/>
  <c r="S41" i="9"/>
  <c r="Q14" i="9"/>
  <c r="Q77" i="9"/>
  <c r="D103" i="2"/>
  <c r="P103" i="2" s="1"/>
  <c r="R76" i="9"/>
  <c r="C76" i="9" s="1"/>
  <c r="S102" i="9"/>
  <c r="S93" i="9"/>
  <c r="P80" i="9"/>
  <c r="B80" i="9" s="1"/>
  <c r="P13" i="9"/>
  <c r="B13" i="9" s="1"/>
  <c r="P93" i="9"/>
  <c r="B93" i="9" s="1"/>
  <c r="S69" i="9"/>
  <c r="Q36" i="9"/>
  <c r="P78" i="9"/>
  <c r="B78" i="9" s="1"/>
  <c r="P84" i="9"/>
  <c r="B84" i="9" s="1"/>
  <c r="Q94" i="9"/>
  <c r="S94" i="9"/>
  <c r="P42" i="9"/>
  <c r="B42" i="9" s="1"/>
  <c r="P99" i="9"/>
  <c r="B99" i="9" s="1"/>
  <c r="S101" i="9"/>
  <c r="S42" i="9"/>
  <c r="P40" i="9"/>
  <c r="B40" i="9" s="1"/>
  <c r="S89" i="9"/>
  <c r="Q40" i="9"/>
  <c r="Q26" i="9"/>
  <c r="R60" i="9"/>
  <c r="C60" i="9" s="1"/>
  <c r="P101" i="9"/>
  <c r="B101" i="9" s="1"/>
  <c r="P194" i="2"/>
  <c r="W194" i="2" s="1"/>
  <c r="S103" i="8"/>
  <c r="M103" i="8" s="1"/>
  <c r="S115" i="39" s="1"/>
  <c r="T115" i="39" s="1"/>
  <c r="D102" i="6"/>
  <c r="D89" i="6"/>
  <c r="D88" i="6"/>
  <c r="D67" i="16"/>
  <c r="D67" i="6"/>
  <c r="S84" i="9"/>
  <c r="M113" i="4"/>
  <c r="D98" i="4" s="1"/>
  <c r="D99" i="4" s="1"/>
  <c r="M89" i="4"/>
  <c r="D75" i="4" s="1"/>
  <c r="D77" i="4" s="1"/>
  <c r="D47" i="16"/>
  <c r="D50" i="16"/>
  <c r="D48" i="16"/>
  <c r="S64" i="8"/>
  <c r="M64" i="8" s="1"/>
  <c r="D49" i="16"/>
  <c r="D61" i="4"/>
  <c r="D60" i="4"/>
  <c r="D62" i="4"/>
  <c r="D63" i="4"/>
  <c r="D59" i="4"/>
  <c r="D10" i="16"/>
  <c r="D13" i="16"/>
  <c r="S61" i="8"/>
  <c r="W61" i="8" s="1"/>
  <c r="D9" i="16"/>
  <c r="D12" i="16"/>
  <c r="U32" i="20"/>
  <c r="V28" i="20"/>
  <c r="X28" i="20"/>
  <c r="U30" i="20"/>
  <c r="U33" i="20"/>
  <c r="W28" i="20"/>
  <c r="P18" i="2"/>
  <c r="S37" i="8"/>
  <c r="L14" i="34" s="1"/>
  <c r="Q70" i="9"/>
  <c r="R24" i="9"/>
  <c r="C24" i="9" s="1"/>
  <c r="S27" i="9"/>
  <c r="R65" i="9"/>
  <c r="C65" i="9" s="1"/>
  <c r="P24" i="9"/>
  <c r="B24" i="9" s="1"/>
  <c r="Q24" i="9"/>
  <c r="P11" i="9"/>
  <c r="B11" i="9" s="1"/>
  <c r="P100" i="9"/>
  <c r="B100" i="9" s="1"/>
  <c r="R73" i="9"/>
  <c r="C73" i="9" s="1"/>
  <c r="Q75" i="9"/>
  <c r="Q98" i="9"/>
  <c r="S22" i="9"/>
  <c r="S16" i="9"/>
  <c r="S97" i="9"/>
  <c r="P36" i="9"/>
  <c r="B36" i="9" s="1"/>
  <c r="R20" i="9"/>
  <c r="C20" i="9" s="1"/>
  <c r="Q104" i="9"/>
  <c r="Q15" i="9"/>
  <c r="P102" i="9"/>
  <c r="B102" i="9" s="1"/>
  <c r="P27" i="9"/>
  <c r="B27" i="9" s="1"/>
  <c r="Q34" i="9"/>
  <c r="P17" i="9"/>
  <c r="B17" i="9" s="1"/>
  <c r="Q64" i="9"/>
  <c r="S9" i="9"/>
  <c r="D68" i="16"/>
  <c r="D69" i="16"/>
  <c r="D86" i="6"/>
  <c r="S102" i="8"/>
  <c r="D85" i="6"/>
  <c r="D106" i="3"/>
  <c r="D104" i="3"/>
  <c r="S74" i="8"/>
  <c r="D107" i="3"/>
  <c r="S88" i="8"/>
  <c r="M88" i="8" s="1"/>
  <c r="D127" i="4"/>
  <c r="D123" i="4"/>
  <c r="D124" i="4"/>
  <c r="D46" i="4"/>
  <c r="D45" i="4"/>
  <c r="D47" i="4"/>
  <c r="D45" i="6"/>
  <c r="D43" i="6"/>
  <c r="D44" i="6"/>
  <c r="D103" i="6"/>
  <c r="D104" i="6"/>
  <c r="D101" i="6"/>
  <c r="D105" i="6"/>
  <c r="D87" i="16" l="1"/>
  <c r="D91" i="16" s="1"/>
  <c r="D105" i="16"/>
  <c r="D103" i="16"/>
  <c r="D106" i="16"/>
  <c r="D102" i="16"/>
  <c r="D104" i="16"/>
  <c r="D92" i="16"/>
  <c r="G58" i="9"/>
  <c r="M53" i="9"/>
  <c r="M54" i="9"/>
  <c r="Y54" i="8" s="1"/>
  <c r="G43" i="9"/>
  <c r="M55" i="9"/>
  <c r="M57" i="9"/>
  <c r="Y57" i="8" s="1"/>
  <c r="G45" i="9"/>
  <c r="M32" i="9"/>
  <c r="M39" i="9"/>
  <c r="M43" i="9"/>
  <c r="G29" i="9"/>
  <c r="M49" i="9"/>
  <c r="G39" i="9"/>
  <c r="M45" i="9"/>
  <c r="M48" i="9"/>
  <c r="M58" i="9"/>
  <c r="G33" i="9"/>
  <c r="M33" i="9"/>
  <c r="M56" i="9"/>
  <c r="G32" i="9"/>
  <c r="G49" i="9"/>
  <c r="G59" i="9"/>
  <c r="G30" i="9"/>
  <c r="M52" i="9"/>
  <c r="Y52" i="8" s="1"/>
  <c r="M31" i="9"/>
  <c r="Y31" i="8" s="1"/>
  <c r="G55" i="9"/>
  <c r="G56" i="9"/>
  <c r="M30" i="9"/>
  <c r="M29" i="9"/>
  <c r="M47" i="9"/>
  <c r="Y47" i="8" s="1"/>
  <c r="M59" i="9"/>
  <c r="G53" i="9"/>
  <c r="D72" i="3"/>
  <c r="D73" i="3"/>
  <c r="S72" i="8"/>
  <c r="M72" i="8" s="1"/>
  <c r="K72" i="9" s="1"/>
  <c r="D74" i="3"/>
  <c r="D83" i="2"/>
  <c r="P83" i="2" s="1"/>
  <c r="C82" i="9"/>
  <c r="E82" i="8" s="1"/>
  <c r="C83" i="9"/>
  <c r="E83" i="8" s="1"/>
  <c r="C48" i="3"/>
  <c r="O49" i="3" s="1"/>
  <c r="D71" i="8"/>
  <c r="C84" i="9"/>
  <c r="E84" i="8" s="1"/>
  <c r="C66" i="9"/>
  <c r="X52" i="38" s="1"/>
  <c r="C42" i="9"/>
  <c r="E42" i="8" s="1"/>
  <c r="S48" i="8"/>
  <c r="M48" i="8" s="1"/>
  <c r="K48" i="9" s="1"/>
  <c r="G48" i="9" s="1"/>
  <c r="C41" i="8"/>
  <c r="B82" i="2"/>
  <c r="C40" i="8"/>
  <c r="B71" i="2"/>
  <c r="D89" i="3"/>
  <c r="D90" i="3"/>
  <c r="D86" i="3"/>
  <c r="D87" i="3"/>
  <c r="D88" i="3"/>
  <c r="D71" i="3"/>
  <c r="D179" i="2"/>
  <c r="D178" i="2"/>
  <c r="N54" i="41"/>
  <c r="M54" i="41" s="1"/>
  <c r="L17" i="42" s="1"/>
  <c r="R40" i="42" s="1"/>
  <c r="S50" i="8"/>
  <c r="L17" i="34" s="1"/>
  <c r="D177" i="2"/>
  <c r="D180" i="2"/>
  <c r="P34" i="2"/>
  <c r="S38" i="8"/>
  <c r="L15" i="34" s="1"/>
  <c r="M14" i="9"/>
  <c r="Y14" i="8" s="1"/>
  <c r="M20" i="9"/>
  <c r="Y20" i="8" s="1"/>
  <c r="M13" i="9"/>
  <c r="Y13" i="8" s="1"/>
  <c r="S90" i="39"/>
  <c r="T90" i="39" s="1"/>
  <c r="H90" i="39" s="1"/>
  <c r="U15" i="39"/>
  <c r="M15" i="39" s="1"/>
  <c r="S73" i="39"/>
  <c r="T73" i="39" s="1"/>
  <c r="H73" i="39" s="1"/>
  <c r="H15" i="39"/>
  <c r="S16" i="39"/>
  <c r="T16" i="39" s="1"/>
  <c r="U16" i="39" s="1"/>
  <c r="M16" i="39" s="1"/>
  <c r="I15" i="39"/>
  <c r="M99" i="8"/>
  <c r="S113" i="39" s="1"/>
  <c r="T113" i="39" s="1"/>
  <c r="K63" i="9"/>
  <c r="S13" i="39"/>
  <c r="T13" i="39" s="1"/>
  <c r="J13" i="39" s="1"/>
  <c r="S54" i="39"/>
  <c r="T54" i="39" s="1"/>
  <c r="U54" i="39" s="1"/>
  <c r="M54" i="39" s="1"/>
  <c r="S29" i="39"/>
  <c r="T29" i="39" s="1"/>
  <c r="H29" i="39" s="1"/>
  <c r="S52" i="39"/>
  <c r="T52" i="39" s="1"/>
  <c r="H52" i="39" s="1"/>
  <c r="S33" i="39"/>
  <c r="T33" i="39" s="1"/>
  <c r="J33" i="39" s="1"/>
  <c r="S50" i="39"/>
  <c r="T50" i="39" s="1"/>
  <c r="J50" i="39" s="1"/>
  <c r="S31" i="39"/>
  <c r="T31" i="39" s="1"/>
  <c r="U31" i="39" s="1"/>
  <c r="M31" i="39" s="1"/>
  <c r="K18" i="9"/>
  <c r="K12" i="9"/>
  <c r="M26" i="8"/>
  <c r="K26" i="9" s="1"/>
  <c r="S110" i="39"/>
  <c r="T110" i="39" s="1"/>
  <c r="S103" i="39"/>
  <c r="T103" i="39" s="1"/>
  <c r="S109" i="39"/>
  <c r="T109" i="39" s="1"/>
  <c r="U109" i="39" s="1"/>
  <c r="M109" i="39" s="1"/>
  <c r="S102" i="39"/>
  <c r="T102" i="39" s="1"/>
  <c r="U102" i="39" s="1"/>
  <c r="M102" i="39" s="1"/>
  <c r="U91" i="39"/>
  <c r="M91" i="39" s="1"/>
  <c r="I91" i="39"/>
  <c r="J91" i="39"/>
  <c r="H91" i="39"/>
  <c r="H10" i="27"/>
  <c r="U41" i="20"/>
  <c r="U41" i="38"/>
  <c r="H11" i="27"/>
  <c r="H74" i="39"/>
  <c r="U74" i="39"/>
  <c r="M74" i="39" s="1"/>
  <c r="J74" i="39"/>
  <c r="I74" i="39"/>
  <c r="J86" i="39"/>
  <c r="H86" i="39"/>
  <c r="U86" i="39"/>
  <c r="M86" i="39" s="1"/>
  <c r="I86" i="39"/>
  <c r="U96" i="39"/>
  <c r="M96" i="39" s="1"/>
  <c r="H96" i="39"/>
  <c r="J96" i="39"/>
  <c r="I96" i="39"/>
  <c r="K88" i="9"/>
  <c r="S89" i="39"/>
  <c r="T89" i="39" s="1"/>
  <c r="H42" i="39"/>
  <c r="J42" i="39"/>
  <c r="U42" i="39"/>
  <c r="M42" i="39" s="1"/>
  <c r="I42" i="39"/>
  <c r="I72" i="39"/>
  <c r="H72" i="39"/>
  <c r="J72" i="39"/>
  <c r="U72" i="39"/>
  <c r="M72" i="39" s="1"/>
  <c r="U93" i="39"/>
  <c r="M93" i="39" s="1"/>
  <c r="I93" i="39"/>
  <c r="J93" i="39"/>
  <c r="H93" i="39"/>
  <c r="AB40" i="38"/>
  <c r="J12" i="39"/>
  <c r="I12" i="39"/>
  <c r="H12" i="39"/>
  <c r="U32" i="39"/>
  <c r="M32" i="39" s="1"/>
  <c r="I32" i="39"/>
  <c r="J32" i="39"/>
  <c r="H32" i="39"/>
  <c r="U97" i="39"/>
  <c r="M97" i="39" s="1"/>
  <c r="H97" i="39"/>
  <c r="J97" i="39"/>
  <c r="I97" i="39"/>
  <c r="U30" i="39"/>
  <c r="M30" i="39" s="1"/>
  <c r="J30" i="39"/>
  <c r="I30" i="39"/>
  <c r="H30" i="39"/>
  <c r="U14" i="39"/>
  <c r="M14" i="39" s="1"/>
  <c r="I14" i="39"/>
  <c r="H14" i="39"/>
  <c r="J14" i="39"/>
  <c r="U17" i="39"/>
  <c r="M17" i="39" s="1"/>
  <c r="J17" i="39"/>
  <c r="I17" i="39"/>
  <c r="H17" i="39"/>
  <c r="U51" i="39"/>
  <c r="M51" i="39" s="1"/>
  <c r="H51" i="39"/>
  <c r="J51" i="39"/>
  <c r="I51" i="39"/>
  <c r="U53" i="39"/>
  <c r="M53" i="39" s="1"/>
  <c r="I53" i="39"/>
  <c r="H53" i="39"/>
  <c r="J53" i="39"/>
  <c r="U66" i="39"/>
  <c r="M66" i="39" s="1"/>
  <c r="H66" i="39"/>
  <c r="I66" i="39"/>
  <c r="J66" i="39"/>
  <c r="U92" i="39"/>
  <c r="M92" i="39" s="1"/>
  <c r="I92" i="39"/>
  <c r="H92" i="39"/>
  <c r="J92" i="39"/>
  <c r="U78" i="39"/>
  <c r="M78" i="39" s="1"/>
  <c r="J78" i="39"/>
  <c r="I78" i="39"/>
  <c r="H78" i="39"/>
  <c r="H11" i="39"/>
  <c r="J11" i="39"/>
  <c r="I11" i="39"/>
  <c r="U11" i="39"/>
  <c r="M11" i="39" s="1"/>
  <c r="U12" i="39"/>
  <c r="M12" i="39" s="1"/>
  <c r="K104" i="9"/>
  <c r="S99" i="39"/>
  <c r="T99" i="39" s="1"/>
  <c r="K64" i="9"/>
  <c r="S79" i="39"/>
  <c r="T79" i="39" s="1"/>
  <c r="D102" i="4"/>
  <c r="Y33" i="20"/>
  <c r="S72" i="34"/>
  <c r="L39" i="34"/>
  <c r="L11" i="34"/>
  <c r="L32" i="34"/>
  <c r="M32" i="34" s="1"/>
  <c r="L38" i="34"/>
  <c r="D66" i="6"/>
  <c r="N26" i="9"/>
  <c r="AA26" i="8" s="1"/>
  <c r="D80" i="4"/>
  <c r="D64" i="6"/>
  <c r="S100" i="8"/>
  <c r="M100" i="8" s="1"/>
  <c r="S111" i="39" s="1"/>
  <c r="T111" i="39" s="1"/>
  <c r="D74" i="4"/>
  <c r="P74" i="4" s="1"/>
  <c r="D79" i="4"/>
  <c r="D97" i="4"/>
  <c r="D100" i="4"/>
  <c r="D101" i="4"/>
  <c r="D103" i="4"/>
  <c r="D78" i="4"/>
  <c r="D76" i="4"/>
  <c r="D68" i="6"/>
  <c r="D65" i="6"/>
  <c r="W65" i="8"/>
  <c r="Q65" i="8" s="1"/>
  <c r="M65" i="8"/>
  <c r="S112" i="39" s="1"/>
  <c r="AB40" i="20"/>
  <c r="M74" i="8"/>
  <c r="S95" i="39" s="1"/>
  <c r="T95" i="39" s="1"/>
  <c r="W32" i="20"/>
  <c r="W31" i="20"/>
  <c r="W33" i="20"/>
  <c r="V31" i="20"/>
  <c r="V32" i="20"/>
  <c r="V33" i="20"/>
  <c r="V30" i="20"/>
  <c r="M102" i="8"/>
  <c r="S114" i="39" s="1"/>
  <c r="T114" i="39" s="1"/>
  <c r="M61" i="8"/>
  <c r="S108" i="39" s="1"/>
  <c r="T108" i="39" s="1"/>
  <c r="X31" i="20"/>
  <c r="X32" i="20"/>
  <c r="X33" i="20"/>
  <c r="M37" i="8"/>
  <c r="D89" i="16" l="1"/>
  <c r="D90" i="16"/>
  <c r="D88" i="16"/>
  <c r="S66" i="8"/>
  <c r="I47" i="9"/>
  <c r="D49" i="9" s="1"/>
  <c r="T49" i="8" s="1"/>
  <c r="N49" i="8" s="1"/>
  <c r="I31" i="9"/>
  <c r="D33" i="9" s="1"/>
  <c r="T33" i="8" s="1"/>
  <c r="N33" i="8" s="1"/>
  <c r="I52" i="9"/>
  <c r="D53" i="9" s="1"/>
  <c r="T53" i="8" s="1"/>
  <c r="Y58" i="8"/>
  <c r="M256" i="2"/>
  <c r="Y32" i="8"/>
  <c r="M198" i="12"/>
  <c r="Y198" i="12" s="1"/>
  <c r="Y59" i="8"/>
  <c r="M274" i="2"/>
  <c r="Y274" i="2" s="1"/>
  <c r="M142" i="2"/>
  <c r="Y142" i="2" s="1"/>
  <c r="Y48" i="8"/>
  <c r="M175" i="12"/>
  <c r="Y29" i="8"/>
  <c r="Y55" i="8"/>
  <c r="M220" i="2"/>
  <c r="Y30" i="8"/>
  <c r="M187" i="12"/>
  <c r="Y187" i="12" s="1"/>
  <c r="D32" i="9"/>
  <c r="T32" i="8" s="1"/>
  <c r="M163" i="2"/>
  <c r="Y163" i="2" s="1"/>
  <c r="Y49" i="8"/>
  <c r="Y56" i="8"/>
  <c r="M240" i="2"/>
  <c r="M113" i="2"/>
  <c r="T113" i="2" s="1"/>
  <c r="Y45" i="8"/>
  <c r="I54" i="9"/>
  <c r="Y33" i="8"/>
  <c r="M208" i="12"/>
  <c r="Y208" i="12" s="1"/>
  <c r="Y43" i="8"/>
  <c r="M93" i="2"/>
  <c r="T93" i="2" s="1"/>
  <c r="M194" i="2"/>
  <c r="Y53" i="8"/>
  <c r="Y39" i="8"/>
  <c r="M52" i="2"/>
  <c r="I57" i="9"/>
  <c r="C66" i="8"/>
  <c r="X52" i="20"/>
  <c r="E41" i="4"/>
  <c r="Q41" i="4" s="1"/>
  <c r="E83" i="2"/>
  <c r="Q83" i="2" s="1"/>
  <c r="E26" i="4"/>
  <c r="C85" i="16"/>
  <c r="E10" i="4"/>
  <c r="M50" i="8"/>
  <c r="S70" i="39" s="1"/>
  <c r="T70" i="39" s="1"/>
  <c r="R41" i="42"/>
  <c r="J40" i="42"/>
  <c r="U73" i="39"/>
  <c r="M73" i="39" s="1"/>
  <c r="AC71" i="39" s="1"/>
  <c r="I40" i="42"/>
  <c r="R11" i="42"/>
  <c r="J11" i="42" s="1"/>
  <c r="R37" i="34"/>
  <c r="R11" i="34" s="1"/>
  <c r="R12" i="34" s="1"/>
  <c r="K40" i="42"/>
  <c r="M38" i="8"/>
  <c r="K38" i="9" s="1"/>
  <c r="G38" i="9" s="1"/>
  <c r="I16" i="39"/>
  <c r="H16" i="39"/>
  <c r="U13" i="39"/>
  <c r="M13" i="39" s="1"/>
  <c r="AC11" i="39" s="1"/>
  <c r="I73" i="39"/>
  <c r="J73" i="39"/>
  <c r="J90" i="39"/>
  <c r="I90" i="39"/>
  <c r="U90" i="39"/>
  <c r="M90" i="39" s="1"/>
  <c r="AC90" i="39" s="1"/>
  <c r="I52" i="39"/>
  <c r="J16" i="39"/>
  <c r="I13" i="39"/>
  <c r="U50" i="39"/>
  <c r="M50" i="39" s="1"/>
  <c r="I102" i="39"/>
  <c r="J52" i="39"/>
  <c r="K100" i="9"/>
  <c r="G100" i="9" s="1"/>
  <c r="M72" i="9"/>
  <c r="H109" i="39"/>
  <c r="J109" i="39"/>
  <c r="U52" i="39"/>
  <c r="M52" i="39" s="1"/>
  <c r="I109" i="39"/>
  <c r="U33" i="39"/>
  <c r="M33" i="39" s="1"/>
  <c r="N91" i="9"/>
  <c r="AA91" i="8" s="1"/>
  <c r="M71" i="9"/>
  <c r="Y71" i="8" s="1"/>
  <c r="I54" i="39"/>
  <c r="AC16" i="39"/>
  <c r="J54" i="39"/>
  <c r="H54" i="39"/>
  <c r="N71" i="9"/>
  <c r="AA71" i="8" s="1"/>
  <c r="H13" i="39"/>
  <c r="N72" i="9"/>
  <c r="AA72" i="8" s="1"/>
  <c r="S19" i="39"/>
  <c r="T19" i="39" s="1"/>
  <c r="U29" i="39"/>
  <c r="M29" i="39" s="1"/>
  <c r="I29" i="39"/>
  <c r="J29" i="39"/>
  <c r="H50" i="39"/>
  <c r="I50" i="39"/>
  <c r="H31" i="39"/>
  <c r="I31" i="39"/>
  <c r="H33" i="39"/>
  <c r="J31" i="39"/>
  <c r="I33" i="39"/>
  <c r="H102" i="39"/>
  <c r="J102" i="39"/>
  <c r="H17" i="6"/>
  <c r="I77" i="41"/>
  <c r="G23" i="9"/>
  <c r="N23" i="9"/>
  <c r="AA23" i="8" s="1"/>
  <c r="M23" i="9"/>
  <c r="Y23" i="8" s="1"/>
  <c r="G71" i="9"/>
  <c r="N25" i="9"/>
  <c r="AA25" i="8" s="1"/>
  <c r="H71" i="9"/>
  <c r="H10" i="9"/>
  <c r="J89" i="39"/>
  <c r="H89" i="39"/>
  <c r="U89" i="39"/>
  <c r="M89" i="39" s="1"/>
  <c r="I89" i="39"/>
  <c r="K37" i="9"/>
  <c r="G37" i="9" s="1"/>
  <c r="S67" i="39"/>
  <c r="T67" i="39" s="1"/>
  <c r="U103" i="39"/>
  <c r="M103" i="39" s="1"/>
  <c r="AC102" i="39" s="1"/>
  <c r="Z102" i="39" s="1"/>
  <c r="I103" i="39"/>
  <c r="H103" i="39"/>
  <c r="J103" i="39"/>
  <c r="U110" i="39"/>
  <c r="M110" i="39" s="1"/>
  <c r="J110" i="39"/>
  <c r="I110" i="39"/>
  <c r="H110" i="39"/>
  <c r="U113" i="39"/>
  <c r="M113" i="39" s="1"/>
  <c r="J113" i="39"/>
  <c r="I113" i="39"/>
  <c r="H113" i="39"/>
  <c r="U99" i="39"/>
  <c r="M99" i="39" s="1"/>
  <c r="AC99" i="39" s="1"/>
  <c r="I99" i="39"/>
  <c r="J99" i="39"/>
  <c r="H99" i="39"/>
  <c r="U115" i="39"/>
  <c r="M115" i="39" s="1"/>
  <c r="J115" i="39"/>
  <c r="I115" i="39"/>
  <c r="H115" i="39"/>
  <c r="K61" i="9"/>
  <c r="G61" i="9" s="1"/>
  <c r="S77" i="39"/>
  <c r="T77" i="39" s="1"/>
  <c r="H76" i="9"/>
  <c r="K103" i="9"/>
  <c r="G103" i="9" s="1"/>
  <c r="S28" i="39"/>
  <c r="T28" i="39" s="1"/>
  <c r="K101" i="9"/>
  <c r="G101" i="9" s="1"/>
  <c r="S86" i="8"/>
  <c r="M86" i="8" s="1"/>
  <c r="L62" i="34"/>
  <c r="M62" i="34" s="1"/>
  <c r="M64" i="34" s="1"/>
  <c r="S41" i="39"/>
  <c r="T41" i="39" s="1"/>
  <c r="K65" i="9"/>
  <c r="G65" i="9" s="1"/>
  <c r="T112" i="39"/>
  <c r="S81" i="39"/>
  <c r="T81" i="39" s="1"/>
  <c r="Y51" i="20"/>
  <c r="Z51" i="20" s="1"/>
  <c r="Y51" i="38"/>
  <c r="Z51" i="38" s="1"/>
  <c r="H16" i="9"/>
  <c r="N100" i="9"/>
  <c r="AA100" i="8" s="1"/>
  <c r="G39" i="27"/>
  <c r="M93" i="9"/>
  <c r="Y93" i="8" s="1"/>
  <c r="L22" i="34"/>
  <c r="M22" i="34" s="1"/>
  <c r="L13" i="34"/>
  <c r="L12" i="34"/>
  <c r="M10" i="9"/>
  <c r="Y10" i="8" s="1"/>
  <c r="G84" i="9"/>
  <c r="N9" i="9"/>
  <c r="AA9" i="8" s="1"/>
  <c r="N89" i="9"/>
  <c r="AA89" i="8" s="1"/>
  <c r="H93" i="9"/>
  <c r="M21" i="9"/>
  <c r="Y21" i="8" s="1"/>
  <c r="H68" i="9"/>
  <c r="N63" i="9"/>
  <c r="AA63" i="8" s="1"/>
  <c r="N65" i="9"/>
  <c r="AA65" i="8" s="1"/>
  <c r="H104" i="9"/>
  <c r="N40" i="9"/>
  <c r="AA40" i="8" s="1"/>
  <c r="H19" i="9"/>
  <c r="G12" i="9"/>
  <c r="H78" i="9"/>
  <c r="N81" i="9"/>
  <c r="AA81" i="8" s="1"/>
  <c r="N16" i="9"/>
  <c r="AA16" i="8" s="1"/>
  <c r="N86" i="9"/>
  <c r="AA86" i="8" s="1"/>
  <c r="H15" i="9"/>
  <c r="J14" i="9" s="1"/>
  <c r="N10" i="9"/>
  <c r="AA10" i="8" s="1"/>
  <c r="N12" i="9"/>
  <c r="AA12" i="8" s="1"/>
  <c r="N103" i="9"/>
  <c r="AA103" i="8" s="1"/>
  <c r="N84" i="9"/>
  <c r="AA84" i="8" s="1"/>
  <c r="N60" i="9"/>
  <c r="AA60" i="8" s="1"/>
  <c r="N21" i="9"/>
  <c r="AA21" i="8" s="1"/>
  <c r="H17" i="9"/>
  <c r="N93" i="9"/>
  <c r="AA93" i="8" s="1"/>
  <c r="N11" i="9"/>
  <c r="AA11" i="8" s="1"/>
  <c r="N83" i="9"/>
  <c r="AA83" i="8" s="1"/>
  <c r="N35" i="9"/>
  <c r="AA35" i="8" s="1"/>
  <c r="N51" i="9"/>
  <c r="AA51" i="8" s="1"/>
  <c r="N38" i="9"/>
  <c r="AA38" i="8" s="1"/>
  <c r="H94" i="9"/>
  <c r="H80" i="9"/>
  <c r="N14" i="9"/>
  <c r="AA14" i="8" s="1"/>
  <c r="N68" i="9"/>
  <c r="AA68" i="8" s="1"/>
  <c r="N27" i="9"/>
  <c r="AA27" i="8" s="1"/>
  <c r="N96" i="9"/>
  <c r="AA96" i="8" s="1"/>
  <c r="N41" i="9"/>
  <c r="AA41" i="8" s="1"/>
  <c r="N76" i="9"/>
  <c r="AA76" i="8" s="1"/>
  <c r="N97" i="9"/>
  <c r="AA97" i="8" s="1"/>
  <c r="H34" i="9"/>
  <c r="N80" i="9"/>
  <c r="AA80" i="8" s="1"/>
  <c r="H11" i="9"/>
  <c r="N18" i="9"/>
  <c r="AA18" i="8" s="1"/>
  <c r="N102" i="9"/>
  <c r="AA102" i="8" s="1"/>
  <c r="M51" i="9"/>
  <c r="Y51" i="8" s="1"/>
  <c r="M62" i="9"/>
  <c r="Y62" i="8" s="1"/>
  <c r="M81" i="9"/>
  <c r="Y81" i="8" s="1"/>
  <c r="G19" i="9"/>
  <c r="M61" i="9"/>
  <c r="Y61" i="8" s="1"/>
  <c r="G72" i="9"/>
  <c r="M17" i="9"/>
  <c r="Y17" i="8" s="1"/>
  <c r="N17" i="9"/>
  <c r="AA17" i="8" s="1"/>
  <c r="M16" i="9"/>
  <c r="Y16" i="8" s="1"/>
  <c r="M22" i="9"/>
  <c r="Y22" i="8" s="1"/>
  <c r="G75" i="9"/>
  <c r="M12" i="9"/>
  <c r="G21" i="9"/>
  <c r="M68" i="9"/>
  <c r="Y68" i="8" s="1"/>
  <c r="M25" i="9"/>
  <c r="Y25" i="8" s="1"/>
  <c r="M92" i="9"/>
  <c r="Y92" i="8" s="1"/>
  <c r="G18" i="9"/>
  <c r="G36" i="9"/>
  <c r="G16" i="9"/>
  <c r="G27" i="9"/>
  <c r="M82" i="9"/>
  <c r="G78" i="9"/>
  <c r="M79" i="9"/>
  <c r="Y79" i="8" s="1"/>
  <c r="H69" i="9"/>
  <c r="M101" i="9"/>
  <c r="M91" i="9"/>
  <c r="Y91" i="8" s="1"/>
  <c r="M84" i="9"/>
  <c r="H73" i="9"/>
  <c r="G64" i="9"/>
  <c r="M60" i="9"/>
  <c r="Y60" i="8" s="1"/>
  <c r="N62" i="9"/>
  <c r="AA62" i="8" s="1"/>
  <c r="M50" i="9"/>
  <c r="N42" i="9"/>
  <c r="AA42" i="8" s="1"/>
  <c r="H98" i="9"/>
  <c r="J97" i="9" s="1"/>
  <c r="E98" i="9" s="1"/>
  <c r="N64" i="9"/>
  <c r="AA64" i="8" s="1"/>
  <c r="M34" i="9"/>
  <c r="Y34" i="8" s="1"/>
  <c r="M85" i="9"/>
  <c r="H12" i="9"/>
  <c r="M41" i="9"/>
  <c r="Y41" i="8" s="1"/>
  <c r="G95" i="9"/>
  <c r="H96" i="9"/>
  <c r="H79" i="9"/>
  <c r="N24" i="9"/>
  <c r="AA24" i="8" s="1"/>
  <c r="N44" i="9"/>
  <c r="AA44" i="8" s="1"/>
  <c r="N92" i="9"/>
  <c r="AA92" i="8" s="1"/>
  <c r="H74" i="9"/>
  <c r="M28" i="9"/>
  <c r="G22" i="9"/>
  <c r="G13" i="9"/>
  <c r="N70" i="9"/>
  <c r="AA70" i="8" s="1"/>
  <c r="M90" i="9"/>
  <c r="Y90" i="8" s="1"/>
  <c r="M100" i="9"/>
  <c r="Y100" i="8" s="1"/>
  <c r="M77" i="9"/>
  <c r="Y77" i="8" s="1"/>
  <c r="M37" i="9"/>
  <c r="Y37" i="8" s="1"/>
  <c r="M70" i="9"/>
  <c r="Y70" i="8" s="1"/>
  <c r="G91" i="9"/>
  <c r="M35" i="9"/>
  <c r="Y35" i="8" s="1"/>
  <c r="M26" i="9"/>
  <c r="H75" i="9"/>
  <c r="M64" i="9"/>
  <c r="Y64" i="8" s="1"/>
  <c r="N22" i="9"/>
  <c r="AA22" i="8" s="1"/>
  <c r="N85" i="9"/>
  <c r="AA85" i="8" s="1"/>
  <c r="M15" i="9"/>
  <c r="N77" i="9"/>
  <c r="AA77" i="8" s="1"/>
  <c r="G90" i="9"/>
  <c r="M18" i="9"/>
  <c r="Y18" i="8" s="1"/>
  <c r="G85" i="9"/>
  <c r="H72" i="9"/>
  <c r="M95" i="9"/>
  <c r="Y95" i="8" s="1"/>
  <c r="H60" i="9"/>
  <c r="N61" i="9"/>
  <c r="AA61" i="8" s="1"/>
  <c r="N46" i="9"/>
  <c r="AA46" i="8" s="1"/>
  <c r="M46" i="9"/>
  <c r="Y46" i="8" s="1"/>
  <c r="M65" i="9"/>
  <c r="Y65" i="8" s="1"/>
  <c r="H89" i="9"/>
  <c r="M63" i="9"/>
  <c r="Y63" i="8" s="1"/>
  <c r="N90" i="9"/>
  <c r="AA90" i="8" s="1"/>
  <c r="M97" i="9"/>
  <c r="Y97" i="8" s="1"/>
  <c r="M9" i="9"/>
  <c r="Y9" i="8" s="1"/>
  <c r="N101" i="9"/>
  <c r="AA101" i="8" s="1"/>
  <c r="N78" i="9"/>
  <c r="AA78" i="8" s="1"/>
  <c r="N99" i="9"/>
  <c r="AA99" i="8" s="1"/>
  <c r="G88" i="9"/>
  <c r="M99" i="9"/>
  <c r="Y99" i="8" s="1"/>
  <c r="H9" i="9"/>
  <c r="N15" i="9"/>
  <c r="AA15" i="8" s="1"/>
  <c r="H70" i="9"/>
  <c r="H91" i="9"/>
  <c r="N73" i="9"/>
  <c r="AA73" i="8" s="1"/>
  <c r="N37" i="9"/>
  <c r="AA37" i="8" s="1"/>
  <c r="N79" i="9"/>
  <c r="AA79" i="8" s="1"/>
  <c r="H18" i="9"/>
  <c r="H95" i="9"/>
  <c r="N104" i="9"/>
  <c r="M27" i="9"/>
  <c r="M75" i="9"/>
  <c r="Y75" i="8" s="1"/>
  <c r="G104" i="9"/>
  <c r="G15" i="9"/>
  <c r="M78" i="9"/>
  <c r="G82" i="9"/>
  <c r="M103" i="9"/>
  <c r="M19" i="9"/>
  <c r="Y19" i="8" s="1"/>
  <c r="H100" i="9"/>
  <c r="M11" i="9"/>
  <c r="Y11" i="8" s="1"/>
  <c r="H77" i="9"/>
  <c r="M87" i="9"/>
  <c r="Y87" i="8" s="1"/>
  <c r="N36" i="9"/>
  <c r="AA36" i="8" s="1"/>
  <c r="G26" i="9"/>
  <c r="I25" i="9" s="1"/>
  <c r="H14" i="9"/>
  <c r="M73" i="9"/>
  <c r="G40" i="9"/>
  <c r="H92" i="9"/>
  <c r="N94" i="9"/>
  <c r="AA94" i="8" s="1"/>
  <c r="M42" i="9"/>
  <c r="Y42" i="8" s="1"/>
  <c r="N69" i="9"/>
  <c r="AA69" i="8" s="1"/>
  <c r="N20" i="9"/>
  <c r="AA20" i="8" s="1"/>
  <c r="H13" i="9"/>
  <c r="M36" i="9"/>
  <c r="Y36" i="8" s="1"/>
  <c r="N74" i="9"/>
  <c r="AA74" i="8" s="1"/>
  <c r="N95" i="9"/>
  <c r="AA95" i="8" s="1"/>
  <c r="H102" i="9"/>
  <c r="M66" i="9"/>
  <c r="Y66" i="8" s="1"/>
  <c r="H101" i="9"/>
  <c r="N28" i="9"/>
  <c r="AA28" i="8" s="1"/>
  <c r="N75" i="9"/>
  <c r="AA75" i="8" s="1"/>
  <c r="N88" i="9"/>
  <c r="AA88" i="8" s="1"/>
  <c r="N34" i="9"/>
  <c r="AA34" i="8" s="1"/>
  <c r="N50" i="9"/>
  <c r="AA50" i="8" s="1"/>
  <c r="N82" i="9"/>
  <c r="AA82" i="8" s="1"/>
  <c r="H103" i="9"/>
  <c r="N87" i="9"/>
  <c r="AA87" i="8" s="1"/>
  <c r="H99" i="9"/>
  <c r="N66" i="9"/>
  <c r="AA66" i="8" s="1"/>
  <c r="H97" i="9"/>
  <c r="N19" i="9"/>
  <c r="AA19" i="8" s="1"/>
  <c r="M83" i="9"/>
  <c r="Y83" i="8" s="1"/>
  <c r="M88" i="9"/>
  <c r="Y88" i="8" s="1"/>
  <c r="M86" i="9"/>
  <c r="Y86" i="8" s="1"/>
  <c r="G92" i="9"/>
  <c r="G63" i="9"/>
  <c r="G44" i="9"/>
  <c r="M94" i="9"/>
  <c r="Y94" i="8" s="1"/>
  <c r="M104" i="9"/>
  <c r="M76" i="9"/>
  <c r="Y76" i="8" s="1"/>
  <c r="G77" i="9"/>
  <c r="M102" i="9"/>
  <c r="Y102" i="8" s="1"/>
  <c r="G94" i="9"/>
  <c r="G42" i="9"/>
  <c r="M80" i="9"/>
  <c r="Y80" i="8" s="1"/>
  <c r="M44" i="9"/>
  <c r="Y44" i="8" s="1"/>
  <c r="M24" i="9"/>
  <c r="Y24" i="8" s="1"/>
  <c r="M40" i="9"/>
  <c r="Y40" i="8" s="1"/>
  <c r="M38" i="9"/>
  <c r="Y38" i="8" s="1"/>
  <c r="M96" i="9"/>
  <c r="Y96" i="8" s="1"/>
  <c r="M69" i="9"/>
  <c r="Y69" i="8" s="1"/>
  <c r="M74" i="9"/>
  <c r="Y74" i="8" s="1"/>
  <c r="G83" i="9"/>
  <c r="M89" i="9"/>
  <c r="Y89" i="8" s="1"/>
  <c r="H39" i="27"/>
  <c r="H40" i="27" s="1"/>
  <c r="P97" i="4"/>
  <c r="S87" i="8"/>
  <c r="M87" i="8" s="1"/>
  <c r="K74" i="9"/>
  <c r="G74" i="9" s="1"/>
  <c r="Q61" i="8"/>
  <c r="D48" i="9" l="1"/>
  <c r="T48" i="8" s="1"/>
  <c r="M66" i="8"/>
  <c r="W66" i="8"/>
  <c r="Q66" i="8" s="1"/>
  <c r="J17" i="9"/>
  <c r="E19" i="9" s="1"/>
  <c r="V19" i="8" s="1"/>
  <c r="P19" i="8" s="1"/>
  <c r="I41" i="9"/>
  <c r="D44" i="9" s="1"/>
  <c r="I93" i="9"/>
  <c r="I99" i="9"/>
  <c r="I102" i="9"/>
  <c r="D58" i="9"/>
  <c r="T58" i="8" s="1"/>
  <c r="D59" i="9"/>
  <c r="T59" i="8" s="1"/>
  <c r="N59" i="8" s="1"/>
  <c r="I17" i="9"/>
  <c r="D19" i="9" s="1"/>
  <c r="T19" i="8" s="1"/>
  <c r="N19" i="8" s="1"/>
  <c r="D55" i="9"/>
  <c r="T55" i="8" s="1"/>
  <c r="D56" i="9"/>
  <c r="T56" i="8" s="1"/>
  <c r="N56" i="8" s="1"/>
  <c r="N32" i="8"/>
  <c r="S31" i="8"/>
  <c r="M31" i="8" s="1"/>
  <c r="K31" i="9" s="1"/>
  <c r="G31" i="9" s="1"/>
  <c r="N53" i="8"/>
  <c r="S52" i="8"/>
  <c r="M40" i="42"/>
  <c r="I89" i="9"/>
  <c r="D90" i="9" s="1"/>
  <c r="T90" i="8" s="1"/>
  <c r="J93" i="9"/>
  <c r="N48" i="8"/>
  <c r="S47" i="8"/>
  <c r="M47" i="8" s="1"/>
  <c r="Y28" i="8"/>
  <c r="M83" i="6"/>
  <c r="X83" i="6" s="1"/>
  <c r="Y103" i="8"/>
  <c r="M57" i="4"/>
  <c r="T57" i="4" s="1"/>
  <c r="Y85" i="8"/>
  <c r="M11" i="4"/>
  <c r="Y11" i="4" s="1"/>
  <c r="Y82" i="8"/>
  <c r="M157" i="12"/>
  <c r="Y157" i="12" s="1"/>
  <c r="Y27" i="8"/>
  <c r="M7" i="12"/>
  <c r="T7" i="12" s="1"/>
  <c r="Y12" i="8"/>
  <c r="M69" i="3"/>
  <c r="Y69" i="3" s="1"/>
  <c r="Y72" i="8"/>
  <c r="M41" i="4"/>
  <c r="T41" i="4" s="1"/>
  <c r="Y84" i="8"/>
  <c r="M142" i="12"/>
  <c r="Y142" i="12" s="1"/>
  <c r="Y26" i="8"/>
  <c r="M28" i="12"/>
  <c r="T28" i="12" s="1"/>
  <c r="Y15" i="8"/>
  <c r="M174" i="2"/>
  <c r="T174" i="2" s="1"/>
  <c r="Y50" i="8"/>
  <c r="Y240" i="2"/>
  <c r="Y73" i="8"/>
  <c r="D95" i="9"/>
  <c r="T95" i="8" s="1"/>
  <c r="N95" i="8" s="1"/>
  <c r="M142" i="3"/>
  <c r="Y142" i="3" s="1"/>
  <c r="Y78" i="8"/>
  <c r="M62" i="6"/>
  <c r="X62" i="6" s="1"/>
  <c r="Y101" i="8"/>
  <c r="K50" i="9"/>
  <c r="G50" i="9" s="1"/>
  <c r="R12" i="42"/>
  <c r="J12" i="42" s="1"/>
  <c r="K37" i="34"/>
  <c r="I11" i="34"/>
  <c r="R13" i="34"/>
  <c r="K13" i="34" s="1"/>
  <c r="R13" i="42"/>
  <c r="J13" i="42" s="1"/>
  <c r="I37" i="34"/>
  <c r="K11" i="34"/>
  <c r="J37" i="34"/>
  <c r="J11" i="34"/>
  <c r="R38" i="34"/>
  <c r="R39" i="34" s="1"/>
  <c r="J39" i="34" s="1"/>
  <c r="K11" i="42"/>
  <c r="K41" i="42"/>
  <c r="R42" i="42"/>
  <c r="I41" i="42"/>
  <c r="I11" i="42"/>
  <c r="J41" i="42"/>
  <c r="S68" i="39"/>
  <c r="T68" i="39" s="1"/>
  <c r="H68" i="39" s="1"/>
  <c r="M61" i="12"/>
  <c r="Y61" i="12" s="1"/>
  <c r="AC50" i="39"/>
  <c r="Z50" i="39" s="1"/>
  <c r="Z126" i="39" s="1"/>
  <c r="AM46" i="38" s="1"/>
  <c r="M7" i="6"/>
  <c r="X7" i="6" s="1"/>
  <c r="J81" i="9"/>
  <c r="J69" i="9"/>
  <c r="AC29" i="39"/>
  <c r="Z29" i="39" s="1"/>
  <c r="Z122" i="39" s="1"/>
  <c r="AM42" i="38" s="1"/>
  <c r="E16" i="9"/>
  <c r="V16" i="8" s="1"/>
  <c r="P16" i="8" s="1"/>
  <c r="I19" i="39"/>
  <c r="H19" i="39"/>
  <c r="J19" i="39"/>
  <c r="U19" i="39"/>
  <c r="M19" i="39" s="1"/>
  <c r="AC19" i="39" s="1"/>
  <c r="I62" i="9"/>
  <c r="D63" i="9" s="1"/>
  <c r="T63" i="8" s="1"/>
  <c r="D27" i="9"/>
  <c r="T27" i="8" s="1"/>
  <c r="N27" i="8" s="1"/>
  <c r="L27" i="9" s="1"/>
  <c r="H27" i="9" s="1"/>
  <c r="K86" i="9"/>
  <c r="G86" i="9" s="1"/>
  <c r="S87" i="39"/>
  <c r="T87" i="39" s="1"/>
  <c r="Z131" i="39"/>
  <c r="AM51" i="38" s="1"/>
  <c r="M49" i="3"/>
  <c r="Y49" i="3" s="1"/>
  <c r="Y256" i="2"/>
  <c r="Y175" i="12"/>
  <c r="M107" i="12"/>
  <c r="Y107" i="12" s="1"/>
  <c r="J79" i="39"/>
  <c r="I79" i="39"/>
  <c r="H79" i="39"/>
  <c r="U79" i="39"/>
  <c r="M79" i="39" s="1"/>
  <c r="J10" i="9"/>
  <c r="E17" i="9" s="1"/>
  <c r="V17" i="8" s="1"/>
  <c r="P17" i="8" s="1"/>
  <c r="M126" i="2"/>
  <c r="Y126" i="2" s="1"/>
  <c r="M83" i="12"/>
  <c r="Y83" i="12" s="1"/>
  <c r="U67" i="39"/>
  <c r="M67" i="39" s="1"/>
  <c r="I67" i="39"/>
  <c r="J67" i="39"/>
  <c r="H67" i="39"/>
  <c r="J68" i="9"/>
  <c r="U41" i="39"/>
  <c r="M41" i="39" s="1"/>
  <c r="J41" i="39"/>
  <c r="I41" i="39"/>
  <c r="H41" i="39"/>
  <c r="U111" i="39"/>
  <c r="M111" i="39" s="1"/>
  <c r="J111" i="39"/>
  <c r="I111" i="39"/>
  <c r="H111" i="39"/>
  <c r="U70" i="39"/>
  <c r="M70" i="39" s="1"/>
  <c r="J70" i="39"/>
  <c r="I70" i="39"/>
  <c r="H70" i="39"/>
  <c r="U81" i="39"/>
  <c r="M81" i="39" s="1"/>
  <c r="AC81" i="39" s="1"/>
  <c r="I81" i="39"/>
  <c r="J81" i="39"/>
  <c r="H81" i="39"/>
  <c r="U112" i="39"/>
  <c r="M112" i="39" s="1"/>
  <c r="J112" i="39"/>
  <c r="I112" i="39"/>
  <c r="H112" i="39"/>
  <c r="U28" i="39"/>
  <c r="M28" i="39" s="1"/>
  <c r="AC28" i="39" s="1"/>
  <c r="J28" i="39"/>
  <c r="I28" i="39"/>
  <c r="H28" i="39"/>
  <c r="U114" i="39"/>
  <c r="M114" i="39" s="1"/>
  <c r="J114" i="39"/>
  <c r="I114" i="39"/>
  <c r="H114" i="39"/>
  <c r="U77" i="39"/>
  <c r="M77" i="39" s="1"/>
  <c r="J77" i="39"/>
  <c r="I77" i="39"/>
  <c r="H77" i="39"/>
  <c r="U95" i="39"/>
  <c r="M95" i="39" s="1"/>
  <c r="AC95" i="39" s="1"/>
  <c r="J95" i="39"/>
  <c r="I95" i="39"/>
  <c r="H95" i="39"/>
  <c r="U108" i="39"/>
  <c r="M108" i="39" s="1"/>
  <c r="H108" i="39"/>
  <c r="I108" i="39"/>
  <c r="J108" i="39"/>
  <c r="Y49" i="20"/>
  <c r="Z49" i="20" s="1"/>
  <c r="Y49" i="38"/>
  <c r="Z49" i="38" s="1"/>
  <c r="K87" i="9"/>
  <c r="G87" i="9" s="1"/>
  <c r="S88" i="39"/>
  <c r="T88" i="39" s="1"/>
  <c r="J76" i="9"/>
  <c r="M7" i="16"/>
  <c r="Y7" i="16" s="1"/>
  <c r="I76" i="9"/>
  <c r="J102" i="9"/>
  <c r="M38" i="12"/>
  <c r="T38" i="12" s="1"/>
  <c r="M41" i="6"/>
  <c r="X41" i="6" s="1"/>
  <c r="E95" i="9"/>
  <c r="V95" i="8" s="1"/>
  <c r="P95" i="8" s="1"/>
  <c r="I73" i="9"/>
  <c r="M7" i="3"/>
  <c r="J11" i="9"/>
  <c r="E12" i="9" s="1"/>
  <c r="V12" i="8" s="1"/>
  <c r="P12" i="8" s="1"/>
  <c r="J73" i="9"/>
  <c r="J79" i="9"/>
  <c r="I11" i="9"/>
  <c r="D12" i="9" s="1"/>
  <c r="T12" i="8" s="1"/>
  <c r="K12" i="34"/>
  <c r="J12" i="34"/>
  <c r="I12" i="34"/>
  <c r="M28" i="34"/>
  <c r="M25" i="34"/>
  <c r="M27" i="34"/>
  <c r="J44" i="34"/>
  <c r="K44" i="34" s="1"/>
  <c r="M44" i="34" s="1"/>
  <c r="J46" i="34"/>
  <c r="K46" i="34" s="1"/>
  <c r="M46" i="34" s="1"/>
  <c r="J45" i="34"/>
  <c r="K45" i="34" s="1"/>
  <c r="M45" i="34" s="1"/>
  <c r="J47" i="34"/>
  <c r="K47" i="34" s="1"/>
  <c r="M47" i="34" s="1"/>
  <c r="M26" i="34"/>
  <c r="T194" i="2"/>
  <c r="M17" i="12"/>
  <c r="T17" i="12" s="1"/>
  <c r="M139" i="4"/>
  <c r="T139" i="4" s="1"/>
  <c r="M119" i="3"/>
  <c r="Y119" i="3" s="1"/>
  <c r="M72" i="12"/>
  <c r="Y72" i="12" s="1"/>
  <c r="M150" i="4"/>
  <c r="I14" i="9"/>
  <c r="D16" i="9" s="1"/>
  <c r="T16" i="8" s="1"/>
  <c r="N16" i="8" s="1"/>
  <c r="J96" i="9"/>
  <c r="M161" i="4"/>
  <c r="J89" i="9"/>
  <c r="E90" i="9" s="1"/>
  <c r="V90" i="8" s="1"/>
  <c r="P90" i="8" s="1"/>
  <c r="J67" i="9"/>
  <c r="M86" i="16"/>
  <c r="Y86" i="16" s="1"/>
  <c r="M34" i="16"/>
  <c r="Y34" i="16" s="1"/>
  <c r="M45" i="16"/>
  <c r="Y45" i="16" s="1"/>
  <c r="M7" i="2"/>
  <c r="M83" i="2"/>
  <c r="T83" i="2" s="1"/>
  <c r="J99" i="9"/>
  <c r="M18" i="2"/>
  <c r="Y18" i="2" s="1"/>
  <c r="M65" i="16"/>
  <c r="Y65" i="16" s="1"/>
  <c r="M49" i="12"/>
  <c r="T49" i="12" s="1"/>
  <c r="M131" i="3"/>
  <c r="Y131" i="3" s="1"/>
  <c r="I81" i="9"/>
  <c r="M97" i="4"/>
  <c r="T97" i="4" s="1"/>
  <c r="J80" i="9"/>
  <c r="J8" i="9"/>
  <c r="Y220" i="2"/>
  <c r="M72" i="2"/>
  <c r="T72" i="2" s="1"/>
  <c r="M99" i="6"/>
  <c r="X99" i="6" s="1"/>
  <c r="M74" i="4"/>
  <c r="T74" i="4" s="1"/>
  <c r="M27" i="4"/>
  <c r="T27" i="4" s="1"/>
  <c r="M102" i="3"/>
  <c r="Y102" i="3" s="1"/>
  <c r="M34" i="2"/>
  <c r="Y34" i="2" s="1"/>
  <c r="M103" i="2"/>
  <c r="T103" i="2" s="1"/>
  <c r="M173" i="4"/>
  <c r="M121" i="4"/>
  <c r="T121" i="4" s="1"/>
  <c r="Y52" i="38" l="1"/>
  <c r="Z52" i="38" s="1"/>
  <c r="Y52" i="20"/>
  <c r="Z52" i="20" s="1"/>
  <c r="K66" i="9"/>
  <c r="G66" i="9" s="1"/>
  <c r="S80" i="39"/>
  <c r="T80" i="39" s="1"/>
  <c r="M37" i="34"/>
  <c r="M11" i="34"/>
  <c r="E18" i="9"/>
  <c r="V18" i="8" s="1"/>
  <c r="P18" i="8" s="1"/>
  <c r="D18" i="9"/>
  <c r="T18" i="8" s="1"/>
  <c r="S17" i="8" s="1"/>
  <c r="M17" i="8" s="1"/>
  <c r="K17" i="9" s="1"/>
  <c r="G17" i="9" s="1"/>
  <c r="N55" i="8"/>
  <c r="S54" i="8"/>
  <c r="M54" i="8" s="1"/>
  <c r="N58" i="8"/>
  <c r="S57" i="8"/>
  <c r="M57" i="8" s="1"/>
  <c r="I28" i="9"/>
  <c r="D29" i="9" s="1"/>
  <c r="M11" i="42"/>
  <c r="M41" i="42"/>
  <c r="E96" i="9"/>
  <c r="V96" i="8" s="1"/>
  <c r="P96" i="8" s="1"/>
  <c r="E68" i="9"/>
  <c r="E79" i="9"/>
  <c r="E78" i="9"/>
  <c r="V78" i="8" s="1"/>
  <c r="P78" i="8" s="1"/>
  <c r="E77" i="9"/>
  <c r="V77" i="8" s="1"/>
  <c r="P77" i="8" s="1"/>
  <c r="E70" i="9"/>
  <c r="V70" i="8" s="1"/>
  <c r="E71" i="9"/>
  <c r="V71" i="8" s="1"/>
  <c r="E72" i="9"/>
  <c r="V72" i="8" s="1"/>
  <c r="P72" i="8" s="1"/>
  <c r="E76" i="9"/>
  <c r="V76" i="8" s="1"/>
  <c r="P76" i="8" s="1"/>
  <c r="E69" i="9"/>
  <c r="E100" i="9"/>
  <c r="E101" i="9"/>
  <c r="E93" i="9"/>
  <c r="E80" i="9"/>
  <c r="V80" i="8" s="1"/>
  <c r="P80" i="8" s="1"/>
  <c r="E89" i="9"/>
  <c r="V89" i="8" s="1"/>
  <c r="P89" i="8" s="1"/>
  <c r="E104" i="9"/>
  <c r="V103" i="8" s="1"/>
  <c r="P103" i="8" s="1"/>
  <c r="E103" i="9"/>
  <c r="V102" i="8" s="1"/>
  <c r="P102" i="8" s="1"/>
  <c r="E81" i="9"/>
  <c r="E88" i="9"/>
  <c r="V88" i="8" s="1"/>
  <c r="P88" i="8" s="1"/>
  <c r="E99" i="9"/>
  <c r="E102" i="9"/>
  <c r="V101" i="8" s="1"/>
  <c r="E97" i="9"/>
  <c r="E74" i="9"/>
  <c r="V74" i="8" s="1"/>
  <c r="P74" i="8" s="1"/>
  <c r="E75" i="9"/>
  <c r="V75" i="8" s="1"/>
  <c r="P75" i="8" s="1"/>
  <c r="P19" i="3"/>
  <c r="M19" i="3" s="1"/>
  <c r="M15" i="3" s="1"/>
  <c r="D8" i="3" s="1"/>
  <c r="S70" i="8" s="1"/>
  <c r="M70" i="8" s="1"/>
  <c r="P44" i="3"/>
  <c r="M44" i="3" s="1"/>
  <c r="K47" i="9"/>
  <c r="G47" i="9" s="1"/>
  <c r="I46" i="9" s="1"/>
  <c r="S69" i="39"/>
  <c r="T69" i="39" s="1"/>
  <c r="I13" i="34"/>
  <c r="M13" i="34" s="1"/>
  <c r="J13" i="34"/>
  <c r="K12" i="42"/>
  <c r="I12" i="42"/>
  <c r="I13" i="42"/>
  <c r="K13" i="42"/>
  <c r="J38" i="34"/>
  <c r="I39" i="34"/>
  <c r="I38" i="34"/>
  <c r="K39" i="34"/>
  <c r="K38" i="34"/>
  <c r="I68" i="39"/>
  <c r="J68" i="39"/>
  <c r="U68" i="39"/>
  <c r="M68" i="39" s="1"/>
  <c r="AC66" i="39" s="1"/>
  <c r="K42" i="42"/>
  <c r="J42" i="42"/>
  <c r="I42" i="42"/>
  <c r="D42" i="9"/>
  <c r="T42" i="8" s="1"/>
  <c r="D43" i="9"/>
  <c r="T43" i="8" s="1"/>
  <c r="N43" i="8" s="1"/>
  <c r="L43" i="9" s="1"/>
  <c r="H43" i="9" s="1"/>
  <c r="D45" i="9"/>
  <c r="T45" i="8" s="1"/>
  <c r="N45" i="8" s="1"/>
  <c r="L45" i="9" s="1"/>
  <c r="H45" i="9" s="1"/>
  <c r="D83" i="9"/>
  <c r="T83" i="8" s="1"/>
  <c r="N83" i="8" s="1"/>
  <c r="D84" i="9"/>
  <c r="T84" i="8" s="1"/>
  <c r="N84" i="8" s="1"/>
  <c r="D82" i="9"/>
  <c r="T82" i="8" s="1"/>
  <c r="D101" i="9"/>
  <c r="T100" i="8" s="1"/>
  <c r="N100" i="8" s="1"/>
  <c r="D100" i="9"/>
  <c r="T99" i="8" s="1"/>
  <c r="N99" i="8" s="1"/>
  <c r="D75" i="9"/>
  <c r="T75" i="8" s="1"/>
  <c r="N75" i="8" s="1"/>
  <c r="D74" i="9"/>
  <c r="T74" i="8" s="1"/>
  <c r="D78" i="9"/>
  <c r="T78" i="8" s="1"/>
  <c r="N78" i="8" s="1"/>
  <c r="D77" i="9"/>
  <c r="T77" i="8" s="1"/>
  <c r="D103" i="9"/>
  <c r="T102" i="8" s="1"/>
  <c r="N102" i="8" s="1"/>
  <c r="D104" i="9"/>
  <c r="T103" i="8" s="1"/>
  <c r="N103" i="8" s="1"/>
  <c r="E82" i="9"/>
  <c r="V82" i="8" s="1"/>
  <c r="P82" i="8" s="1"/>
  <c r="E14" i="9"/>
  <c r="V14" i="8" s="1"/>
  <c r="P14" i="8" s="1"/>
  <c r="E15" i="9"/>
  <c r="V15" i="8" s="1"/>
  <c r="P15" i="8" s="1"/>
  <c r="E13" i="9"/>
  <c r="V13" i="8" s="1"/>
  <c r="P13" i="8" s="1"/>
  <c r="AC41" i="39"/>
  <c r="Z40" i="39" s="1"/>
  <c r="Z124" i="39" s="1"/>
  <c r="AM44" i="38" s="1"/>
  <c r="AC108" i="39"/>
  <c r="Z107" i="39" s="1"/>
  <c r="Z132" i="39" s="1"/>
  <c r="AM52" i="38" s="1"/>
  <c r="N12" i="8"/>
  <c r="N63" i="8"/>
  <c r="L63" i="9" s="1"/>
  <c r="H63" i="9" s="1"/>
  <c r="Y7" i="3"/>
  <c r="E11" i="9"/>
  <c r="V11" i="8" s="1"/>
  <c r="P11" i="8" s="1"/>
  <c r="E73" i="9"/>
  <c r="V73" i="8" s="1"/>
  <c r="P73" i="8" s="1"/>
  <c r="E94" i="9"/>
  <c r="V94" i="8" s="1"/>
  <c r="P94" i="8" s="1"/>
  <c r="E84" i="9"/>
  <c r="V84" i="8" s="1"/>
  <c r="P84" i="8" s="1"/>
  <c r="V69" i="8"/>
  <c r="P69" i="8" s="1"/>
  <c r="K55" i="34"/>
  <c r="P55" i="34" s="1"/>
  <c r="U88" i="39"/>
  <c r="M88" i="39" s="1"/>
  <c r="J88" i="39"/>
  <c r="I88" i="39"/>
  <c r="H88" i="39"/>
  <c r="U87" i="39"/>
  <c r="M87" i="39" s="1"/>
  <c r="J87" i="39"/>
  <c r="I87" i="39"/>
  <c r="H87" i="39"/>
  <c r="V5" i="39"/>
  <c r="AM53" i="38" s="1"/>
  <c r="D94" i="9"/>
  <c r="T94" i="8" s="1"/>
  <c r="S93" i="8" s="1"/>
  <c r="V93" i="8"/>
  <c r="P93" i="8" s="1"/>
  <c r="E83" i="9"/>
  <c r="V83" i="8" s="1"/>
  <c r="P83" i="8" s="1"/>
  <c r="D13" i="9"/>
  <c r="T13" i="8" s="1"/>
  <c r="N13" i="8" s="1"/>
  <c r="M12" i="34"/>
  <c r="D64" i="9"/>
  <c r="T64" i="8" s="1"/>
  <c r="N64" i="8" s="1"/>
  <c r="L64" i="9" s="1"/>
  <c r="H64" i="9" s="1"/>
  <c r="E92" i="9"/>
  <c r="V92" i="8" s="1"/>
  <c r="P92" i="8" s="1"/>
  <c r="D26" i="9"/>
  <c r="T26" i="8" s="1"/>
  <c r="N26" i="8" s="1"/>
  <c r="E91" i="9"/>
  <c r="V91" i="8" s="1"/>
  <c r="P91" i="8" s="1"/>
  <c r="V99" i="8"/>
  <c r="P99" i="8" s="1"/>
  <c r="D91" i="9"/>
  <c r="T91" i="8" s="1"/>
  <c r="N91" i="8" s="1"/>
  <c r="D92" i="9"/>
  <c r="T92" i="8" s="1"/>
  <c r="N92" i="8" s="1"/>
  <c r="D15" i="9"/>
  <c r="T15" i="8" s="1"/>
  <c r="N90" i="8"/>
  <c r="V68" i="8"/>
  <c r="P68" i="8" s="1"/>
  <c r="V79" i="8"/>
  <c r="P79" i="8" s="1"/>
  <c r="V100" i="8"/>
  <c r="P100" i="8" s="1"/>
  <c r="E34" i="9"/>
  <c r="V34" i="8" s="1"/>
  <c r="P34" i="8" s="1"/>
  <c r="E60" i="9"/>
  <c r="V60" i="8" s="1"/>
  <c r="P60" i="8" s="1"/>
  <c r="E9" i="9"/>
  <c r="V9" i="8" s="1"/>
  <c r="P9" i="8" s="1"/>
  <c r="T7" i="2"/>
  <c r="Y7" i="2"/>
  <c r="D8" i="4"/>
  <c r="E87" i="9"/>
  <c r="V87" i="8" s="1"/>
  <c r="P87" i="8" s="1"/>
  <c r="V81" i="8"/>
  <c r="P81" i="8" s="1"/>
  <c r="E86" i="9"/>
  <c r="V86" i="8" s="1"/>
  <c r="P86" i="8" s="1"/>
  <c r="E85" i="9"/>
  <c r="V85" i="8" s="1"/>
  <c r="P85" i="8" s="1"/>
  <c r="T44" i="8"/>
  <c r="U80" i="39" l="1"/>
  <c r="M80" i="39" s="1"/>
  <c r="AC77" i="39" s="1"/>
  <c r="J80" i="39"/>
  <c r="I80" i="39"/>
  <c r="H80" i="39"/>
  <c r="N18" i="8"/>
  <c r="K57" i="9"/>
  <c r="G57" i="9" s="1"/>
  <c r="S23" i="39"/>
  <c r="T23" i="39" s="1"/>
  <c r="D30" i="9"/>
  <c r="D31" i="9"/>
  <c r="K54" i="9"/>
  <c r="G54" i="9" s="1"/>
  <c r="S36" i="39"/>
  <c r="T36" i="39" s="1"/>
  <c r="S25" i="39"/>
  <c r="T25" i="39" s="1"/>
  <c r="M12" i="42"/>
  <c r="M38" i="34"/>
  <c r="M39" i="34"/>
  <c r="M13" i="42"/>
  <c r="M42" i="42"/>
  <c r="M52" i="42" s="1"/>
  <c r="D50" i="9"/>
  <c r="T50" i="8" s="1"/>
  <c r="N50" i="8" s="1"/>
  <c r="L50" i="9" s="1"/>
  <c r="H50" i="9" s="1"/>
  <c r="D47" i="9"/>
  <c r="U69" i="39"/>
  <c r="M69" i="39" s="1"/>
  <c r="AC69" i="39" s="1"/>
  <c r="I69" i="39"/>
  <c r="J69" i="39"/>
  <c r="H69" i="39"/>
  <c r="S41" i="8"/>
  <c r="M41" i="8" s="1"/>
  <c r="K41" i="9" s="1"/>
  <c r="G41" i="9" s="1"/>
  <c r="I35" i="9" s="1"/>
  <c r="S76" i="8"/>
  <c r="M76" i="8" s="1"/>
  <c r="K76" i="9" s="1"/>
  <c r="G76" i="9" s="1"/>
  <c r="N42" i="8"/>
  <c r="L42" i="9" s="1"/>
  <c r="H42" i="9" s="1"/>
  <c r="N44" i="8"/>
  <c r="L44" i="9" s="1"/>
  <c r="H44" i="9" s="1"/>
  <c r="S73" i="8"/>
  <c r="M73" i="8" s="1"/>
  <c r="K73" i="9" s="1"/>
  <c r="G73" i="9" s="1"/>
  <c r="S98" i="8"/>
  <c r="W98" i="8" s="1"/>
  <c r="Q98" i="8" s="1"/>
  <c r="N94" i="8"/>
  <c r="J62" i="9"/>
  <c r="E63" i="9" s="1"/>
  <c r="V63" i="8" s="1"/>
  <c r="P63" i="8" s="1"/>
  <c r="N15" i="8"/>
  <c r="S14" i="8"/>
  <c r="M14" i="8" s="1"/>
  <c r="K14" i="9" s="1"/>
  <c r="G14" i="9" s="1"/>
  <c r="S11" i="8"/>
  <c r="L26" i="9"/>
  <c r="H26" i="9" s="1"/>
  <c r="S25" i="8"/>
  <c r="S62" i="8"/>
  <c r="M62" i="8" s="1"/>
  <c r="K62" i="9" s="1"/>
  <c r="G62" i="9" s="1"/>
  <c r="I60" i="9" s="1"/>
  <c r="D65" i="9" s="1"/>
  <c r="T65" i="8" s="1"/>
  <c r="N65" i="8" s="1"/>
  <c r="L65" i="9" s="1"/>
  <c r="H65" i="9" s="1"/>
  <c r="N82" i="8"/>
  <c r="S81" i="8"/>
  <c r="M81" i="8" s="1"/>
  <c r="S89" i="8"/>
  <c r="S46" i="39"/>
  <c r="T46" i="39" s="1"/>
  <c r="K70" i="9"/>
  <c r="G70" i="9" s="1"/>
  <c r="I69" i="9" s="1"/>
  <c r="N74" i="8"/>
  <c r="N77" i="8"/>
  <c r="K73" i="34"/>
  <c r="M73" i="34" s="1"/>
  <c r="M69" i="34" s="1"/>
  <c r="M79" i="34" s="1"/>
  <c r="K59" i="34"/>
  <c r="M55" i="34"/>
  <c r="M30" i="34"/>
  <c r="M77" i="34" s="1"/>
  <c r="S101" i="8"/>
  <c r="M101" i="8" s="1"/>
  <c r="K102" i="9" s="1"/>
  <c r="G102" i="9" s="1"/>
  <c r="M93" i="8"/>
  <c r="K93" i="9" s="1"/>
  <c r="G93" i="9" s="1"/>
  <c r="W93" i="8"/>
  <c r="Q93" i="8" s="1"/>
  <c r="M32" i="42" l="1"/>
  <c r="M49" i="34"/>
  <c r="M78" i="34" s="1"/>
  <c r="U25" i="39"/>
  <c r="M25" i="39" s="1"/>
  <c r="AC25" i="39" s="1"/>
  <c r="I25" i="39"/>
  <c r="J25" i="39"/>
  <c r="H25" i="39"/>
  <c r="J25" i="9"/>
  <c r="E27" i="9" s="1"/>
  <c r="V27" i="8" s="1"/>
  <c r="P27" i="8" s="1"/>
  <c r="J23" i="39"/>
  <c r="U23" i="39"/>
  <c r="M23" i="39" s="1"/>
  <c r="I23" i="39"/>
  <c r="H23" i="39"/>
  <c r="H36" i="39"/>
  <c r="J36" i="39"/>
  <c r="U36" i="39"/>
  <c r="M36" i="39" s="1"/>
  <c r="AC36" i="39" s="1"/>
  <c r="I36" i="39"/>
  <c r="M90" i="42"/>
  <c r="G17" i="6" s="1"/>
  <c r="M33" i="42"/>
  <c r="M89" i="42" s="1"/>
  <c r="H6" i="27" s="1"/>
  <c r="W76" i="8"/>
  <c r="Q76" i="8" s="1"/>
  <c r="S61" i="38" s="1"/>
  <c r="T61" i="38" s="1"/>
  <c r="W73" i="8"/>
  <c r="Q73" i="8" s="1"/>
  <c r="S60" i="20" s="1"/>
  <c r="T60" i="20" s="1"/>
  <c r="J41" i="9"/>
  <c r="E45" i="9" s="1"/>
  <c r="V45" i="8" s="1"/>
  <c r="P45" i="8" s="1"/>
  <c r="D72" i="9"/>
  <c r="T72" i="8" s="1"/>
  <c r="N72" i="8" s="1"/>
  <c r="D71" i="9"/>
  <c r="T71" i="8" s="1"/>
  <c r="N71" i="8" s="1"/>
  <c r="D70" i="9"/>
  <c r="T70" i="8" s="1"/>
  <c r="D40" i="9"/>
  <c r="T40" i="8" s="1"/>
  <c r="N40" i="8" s="1"/>
  <c r="L40" i="9" s="1"/>
  <c r="H40" i="9" s="1"/>
  <c r="T29" i="8"/>
  <c r="T30" i="8"/>
  <c r="N30" i="8" s="1"/>
  <c r="L30" i="9" s="1"/>
  <c r="H30" i="9" s="1"/>
  <c r="T31" i="8"/>
  <c r="N31" i="8" s="1"/>
  <c r="L31" i="9" s="1"/>
  <c r="H31" i="9" s="1"/>
  <c r="E64" i="9"/>
  <c r="V64" i="8" s="1"/>
  <c r="P64" i="8" s="1"/>
  <c r="M11" i="8"/>
  <c r="K11" i="9" s="1"/>
  <c r="G11" i="9" s="1"/>
  <c r="I10" i="9" s="1"/>
  <c r="D11" i="9" s="1"/>
  <c r="T11" i="8" s="1"/>
  <c r="I46" i="39"/>
  <c r="H46" i="39"/>
  <c r="J46" i="39"/>
  <c r="U46" i="39"/>
  <c r="M46" i="39" s="1"/>
  <c r="M80" i="34"/>
  <c r="M59" i="34"/>
  <c r="M52" i="34" s="1"/>
  <c r="P59" i="34"/>
  <c r="P52" i="34" s="1"/>
  <c r="P79" i="34" s="1"/>
  <c r="P80" i="34" s="1"/>
  <c r="K81" i="9"/>
  <c r="G81" i="9" s="1"/>
  <c r="I80" i="9" s="1"/>
  <c r="S85" i="39"/>
  <c r="T85" i="39" s="1"/>
  <c r="V61" i="20"/>
  <c r="W61" i="20" s="1"/>
  <c r="V61" i="38"/>
  <c r="W61" i="38" s="1"/>
  <c r="Y60" i="20"/>
  <c r="Z60" i="20" s="1"/>
  <c r="Y60" i="38"/>
  <c r="Z60" i="38" s="1"/>
  <c r="W101" i="8"/>
  <c r="Q101" i="8" s="1"/>
  <c r="M98" i="8"/>
  <c r="K98" i="9" s="1"/>
  <c r="G98" i="9" s="1"/>
  <c r="D62" i="9"/>
  <c r="T62" i="8" s="1"/>
  <c r="N62" i="8" s="1"/>
  <c r="L62" i="9" s="1"/>
  <c r="H62" i="9" s="1"/>
  <c r="D66" i="9"/>
  <c r="T66" i="8" s="1"/>
  <c r="N66" i="8" s="1"/>
  <c r="L66" i="9" s="1"/>
  <c r="H66" i="9" s="1"/>
  <c r="W62" i="8"/>
  <c r="Q62" i="8" s="1"/>
  <c r="D61" i="9"/>
  <c r="T61" i="8" s="1"/>
  <c r="M25" i="8"/>
  <c r="K25" i="9" s="1"/>
  <c r="G25" i="9" s="1"/>
  <c r="W25" i="8"/>
  <c r="Q25" i="8" s="1"/>
  <c r="M89" i="8"/>
  <c r="K89" i="9" s="1"/>
  <c r="G89" i="9" s="1"/>
  <c r="W89" i="8"/>
  <c r="Q89" i="8" s="1"/>
  <c r="E26" i="9" l="1"/>
  <c r="V26" i="8" s="1"/>
  <c r="P26" i="8" s="1"/>
  <c r="I97" i="9"/>
  <c r="D98" i="9" s="1"/>
  <c r="S41" i="20"/>
  <c r="S41" i="38"/>
  <c r="I75" i="41"/>
  <c r="F17" i="6"/>
  <c r="T41" i="38"/>
  <c r="H8" i="27"/>
  <c r="T41" i="20"/>
  <c r="M92" i="42"/>
  <c r="I79" i="41" s="1"/>
  <c r="B74" i="41" s="1"/>
  <c r="I76" i="41"/>
  <c r="N29" i="8"/>
  <c r="L29" i="9" s="1"/>
  <c r="H29" i="9" s="1"/>
  <c r="S28" i="8"/>
  <c r="S60" i="38"/>
  <c r="T60" i="38" s="1"/>
  <c r="S61" i="20"/>
  <c r="T61" i="20" s="1"/>
  <c r="E42" i="9"/>
  <c r="V42" i="8" s="1"/>
  <c r="P42" i="8" s="1"/>
  <c r="E44" i="9"/>
  <c r="V44" i="8" s="1"/>
  <c r="P44" i="8" s="1"/>
  <c r="E43" i="9"/>
  <c r="V43" i="8" s="1"/>
  <c r="P43" i="8" s="1"/>
  <c r="D87" i="9"/>
  <c r="T87" i="8" s="1"/>
  <c r="N87" i="8" s="1"/>
  <c r="D85" i="9"/>
  <c r="T85" i="8" s="1"/>
  <c r="N85" i="8" s="1"/>
  <c r="D81" i="9"/>
  <c r="T81" i="8" s="1"/>
  <c r="N81" i="8" s="1"/>
  <c r="D38" i="9"/>
  <c r="T38" i="8" s="1"/>
  <c r="N38" i="8" s="1"/>
  <c r="L38" i="9" s="1"/>
  <c r="H38" i="9" s="1"/>
  <c r="D41" i="9"/>
  <c r="T41" i="8" s="1"/>
  <c r="N41" i="8" s="1"/>
  <c r="L41" i="9" s="1"/>
  <c r="H41" i="9" s="1"/>
  <c r="D39" i="9"/>
  <c r="T39" i="8" s="1"/>
  <c r="N39" i="8" s="1"/>
  <c r="L39" i="9" s="1"/>
  <c r="H39" i="9" s="1"/>
  <c r="T47" i="8"/>
  <c r="S46" i="8" s="1"/>
  <c r="D36" i="9"/>
  <c r="T36" i="8" s="1"/>
  <c r="D37" i="9"/>
  <c r="T37" i="8" s="1"/>
  <c r="N37" i="8" s="1"/>
  <c r="L37" i="9" s="1"/>
  <c r="H37" i="9" s="1"/>
  <c r="W60" i="8"/>
  <c r="AC46" i="39"/>
  <c r="Z46" i="39" s="1"/>
  <c r="Z125" i="39" s="1"/>
  <c r="AM45" i="38" s="1"/>
  <c r="S69" i="8"/>
  <c r="N61" i="8"/>
  <c r="L61" i="9" s="1"/>
  <c r="H61" i="9" s="1"/>
  <c r="J60" i="9" s="1"/>
  <c r="N11" i="8"/>
  <c r="N70" i="8"/>
  <c r="D17" i="9"/>
  <c r="T17" i="8" s="1"/>
  <c r="N17" i="8" s="1"/>
  <c r="D14" i="9"/>
  <c r="T14" i="8" s="1"/>
  <c r="N14" i="8" s="1"/>
  <c r="D86" i="9"/>
  <c r="T86" i="8" s="1"/>
  <c r="N86" i="8" s="1"/>
  <c r="AC40" i="38"/>
  <c r="AC40" i="20"/>
  <c r="U85" i="39"/>
  <c r="M85" i="39" s="1"/>
  <c r="H85" i="39"/>
  <c r="J85" i="39"/>
  <c r="I85" i="39"/>
  <c r="D88" i="9"/>
  <c r="T88" i="8" s="1"/>
  <c r="N88" i="8" s="1"/>
  <c r="V60" i="20"/>
  <c r="W60" i="20" s="1"/>
  <c r="V60" i="38"/>
  <c r="W60" i="38" s="1"/>
  <c r="Y61" i="20"/>
  <c r="Z61" i="20" s="1"/>
  <c r="Y61" i="38"/>
  <c r="Z61" i="38" s="1"/>
  <c r="Y50" i="20"/>
  <c r="Z50" i="20" s="1"/>
  <c r="Y50" i="38"/>
  <c r="Z50" i="38" s="1"/>
  <c r="S51" i="20"/>
  <c r="T51" i="20" s="1"/>
  <c r="S51" i="38"/>
  <c r="T51" i="38" s="1"/>
  <c r="K99" i="9"/>
  <c r="G99" i="9" s="1"/>
  <c r="W43" i="38" l="1"/>
  <c r="J28" i="9"/>
  <c r="E31" i="9" s="1"/>
  <c r="W43" i="20"/>
  <c r="V42" i="20"/>
  <c r="I78" i="41"/>
  <c r="I17" i="6"/>
  <c r="Q17" i="6" s="1"/>
  <c r="P17" i="6" s="1"/>
  <c r="R17" i="6" s="1"/>
  <c r="P73" i="41"/>
  <c r="P74" i="41" s="1"/>
  <c r="V42" i="38"/>
  <c r="S35" i="8"/>
  <c r="W35" i="8" s="1"/>
  <c r="W28" i="8"/>
  <c r="Q28" i="8" s="1"/>
  <c r="M28" i="8"/>
  <c r="N36" i="8"/>
  <c r="L36" i="9" s="1"/>
  <c r="H36" i="9" s="1"/>
  <c r="J35" i="9" s="1"/>
  <c r="E61" i="9"/>
  <c r="V61" i="8" s="1"/>
  <c r="P61" i="8" s="1"/>
  <c r="E66" i="9"/>
  <c r="V66" i="8" s="1"/>
  <c r="P66" i="8" s="1"/>
  <c r="N47" i="8"/>
  <c r="L47" i="9" s="1"/>
  <c r="H47" i="9" s="1"/>
  <c r="W46" i="8"/>
  <c r="S10" i="8"/>
  <c r="M10" i="8" s="1"/>
  <c r="K10" i="9" s="1"/>
  <c r="G10" i="9" s="1"/>
  <c r="AC85" i="39"/>
  <c r="Z82" i="39" s="1"/>
  <c r="Z129" i="39" s="1"/>
  <c r="AM49" i="38" s="1"/>
  <c r="M69" i="8"/>
  <c r="K69" i="9" s="1"/>
  <c r="G69" i="9" s="1"/>
  <c r="I68" i="9" s="1"/>
  <c r="D69" i="9" s="1"/>
  <c r="W69" i="8"/>
  <c r="H32" i="27"/>
  <c r="H33" i="27" s="1"/>
  <c r="AG41" i="20"/>
  <c r="AG41" i="38"/>
  <c r="S80" i="8"/>
  <c r="M80" i="8" s="1"/>
  <c r="K80" i="9" s="1"/>
  <c r="G80" i="9" s="1"/>
  <c r="I79" i="9" s="1"/>
  <c r="Q60" i="8"/>
  <c r="Y46" i="20" s="1"/>
  <c r="Z10" i="20" s="1"/>
  <c r="Z46" i="38"/>
  <c r="E65" i="9"/>
  <c r="V65" i="8" s="1"/>
  <c r="P65" i="8" s="1"/>
  <c r="E62" i="9"/>
  <c r="V62" i="8" s="1"/>
  <c r="P62" i="8" s="1"/>
  <c r="V97" i="8"/>
  <c r="Z46" i="20"/>
  <c r="E30" i="9" l="1"/>
  <c r="V30" i="8" s="1"/>
  <c r="P30" i="8" s="1"/>
  <c r="E29" i="9"/>
  <c r="V29" i="8" s="1"/>
  <c r="P29" i="8" s="1"/>
  <c r="J17" i="6"/>
  <c r="S17" i="6"/>
  <c r="P16" i="6" s="1"/>
  <c r="J46" i="9"/>
  <c r="E50" i="9" s="1"/>
  <c r="V50" i="8" s="1"/>
  <c r="P50" i="8" s="1"/>
  <c r="K28" i="9"/>
  <c r="G28" i="9" s="1"/>
  <c r="S21" i="39"/>
  <c r="T21" i="39" s="1"/>
  <c r="S52" i="20"/>
  <c r="T52" i="20" s="1"/>
  <c r="S52" i="38"/>
  <c r="T52" i="38" s="1"/>
  <c r="M35" i="8"/>
  <c r="K35" i="9" s="1"/>
  <c r="G35" i="9" s="1"/>
  <c r="Q35" i="8"/>
  <c r="V49" i="20" s="1"/>
  <c r="W49" i="20" s="1"/>
  <c r="Q46" i="8"/>
  <c r="M46" i="8"/>
  <c r="K46" i="9" s="1"/>
  <c r="G46" i="9" s="1"/>
  <c r="E37" i="9"/>
  <c r="V37" i="8" s="1"/>
  <c r="P37" i="8" s="1"/>
  <c r="E39" i="9"/>
  <c r="V39" i="8" s="1"/>
  <c r="P39" i="8" s="1"/>
  <c r="E41" i="9"/>
  <c r="V41" i="8" s="1"/>
  <c r="P41" i="8" s="1"/>
  <c r="V31" i="8"/>
  <c r="P31" i="8" s="1"/>
  <c r="E40" i="9"/>
  <c r="V40" i="8" s="1"/>
  <c r="P40" i="8" s="1"/>
  <c r="E38" i="9"/>
  <c r="V38" i="8" s="1"/>
  <c r="P38" i="8" s="1"/>
  <c r="E36" i="9"/>
  <c r="V36" i="8" s="1"/>
  <c r="P36" i="8" s="1"/>
  <c r="Q69" i="8"/>
  <c r="S59" i="38" s="1"/>
  <c r="T59" i="38" s="1"/>
  <c r="T69" i="8"/>
  <c r="D73" i="9"/>
  <c r="T73" i="8" s="1"/>
  <c r="N73" i="8" s="1"/>
  <c r="D76" i="9"/>
  <c r="T76" i="8" s="1"/>
  <c r="N76" i="8" s="1"/>
  <c r="G34" i="27"/>
  <c r="H34" i="27"/>
  <c r="H35" i="27" s="1"/>
  <c r="H19" i="27" s="1"/>
  <c r="H15" i="27" s="1"/>
  <c r="H12" i="27"/>
  <c r="W80" i="8"/>
  <c r="Q80" i="8" s="1"/>
  <c r="V59" i="20" s="1"/>
  <c r="W59" i="20" s="1"/>
  <c r="W10" i="8"/>
  <c r="Q10" i="8" s="1"/>
  <c r="S49" i="20" s="1"/>
  <c r="T49" i="20" s="1"/>
  <c r="AC43" i="20"/>
  <c r="AB43" i="20" s="1"/>
  <c r="AC42" i="20"/>
  <c r="K60" i="9"/>
  <c r="G60" i="9" s="1"/>
  <c r="Y46" i="38"/>
  <c r="AC41" i="38"/>
  <c r="AB41" i="38" s="1"/>
  <c r="AC43" i="38"/>
  <c r="AB43" i="38" s="1"/>
  <c r="AC42" i="38"/>
  <c r="AB42" i="38" s="1"/>
  <c r="O41" i="20"/>
  <c r="AC41" i="20"/>
  <c r="D93" i="9"/>
  <c r="T93" i="8" s="1"/>
  <c r="N93" i="8" s="1"/>
  <c r="D89" i="9"/>
  <c r="T89" i="8" s="1"/>
  <c r="N89" i="8" s="1"/>
  <c r="D80" i="9"/>
  <c r="T80" i="8" s="1"/>
  <c r="M16" i="6" l="1"/>
  <c r="E47" i="9"/>
  <c r="V47" i="8" s="1"/>
  <c r="P47" i="8" s="1"/>
  <c r="I21" i="39"/>
  <c r="H21" i="39"/>
  <c r="U21" i="39"/>
  <c r="M21" i="39" s="1"/>
  <c r="AC21" i="39" s="1"/>
  <c r="J21" i="39"/>
  <c r="V50" i="20"/>
  <c r="W50" i="20" s="1"/>
  <c r="V50" i="38"/>
  <c r="W50" i="38" s="1"/>
  <c r="V49" i="38"/>
  <c r="W49" i="38" s="1"/>
  <c r="S59" i="20"/>
  <c r="T59" i="20" s="1"/>
  <c r="W68" i="8"/>
  <c r="V59" i="38"/>
  <c r="W59" i="38" s="1"/>
  <c r="N80" i="8"/>
  <c r="W79" i="8"/>
  <c r="W56" i="38" s="1"/>
  <c r="N69" i="8"/>
  <c r="S49" i="38"/>
  <c r="T49" i="38" s="1"/>
  <c r="AB42" i="20"/>
  <c r="T36" i="20" s="1"/>
  <c r="S36" i="20" s="1"/>
  <c r="S37" i="20" s="1"/>
  <c r="AB41" i="20"/>
  <c r="O41" i="38"/>
  <c r="Z10" i="38"/>
  <c r="AF43" i="38"/>
  <c r="X43" i="38" s="1"/>
  <c r="AI43" i="38"/>
  <c r="T36" i="38"/>
  <c r="S36" i="38" s="1"/>
  <c r="S37" i="38" s="1"/>
  <c r="AG43" i="38"/>
  <c r="AG42" i="38"/>
  <c r="AI42" i="38"/>
  <c r="AH40" i="38"/>
  <c r="AF41" i="38"/>
  <c r="X41" i="38" s="1"/>
  <c r="AF42" i="38"/>
  <c r="X42" i="38" s="1"/>
  <c r="AI41" i="38"/>
  <c r="AI41" i="20"/>
  <c r="AF41" i="20"/>
  <c r="X41" i="20" s="1"/>
  <c r="AG42" i="20"/>
  <c r="AH40" i="20"/>
  <c r="AI43" i="20"/>
  <c r="AF43" i="20"/>
  <c r="X43" i="20" s="1"/>
  <c r="AI42" i="20"/>
  <c r="AG43" i="20"/>
  <c r="AF42" i="20"/>
  <c r="X42" i="20" s="1"/>
  <c r="T56" i="20" l="1"/>
  <c r="T56" i="38"/>
  <c r="Q68" i="8"/>
  <c r="D8" i="6"/>
  <c r="S97" i="8" s="1"/>
  <c r="W97" i="8" s="1"/>
  <c r="W56" i="20"/>
  <c r="Q79" i="8"/>
  <c r="V56" i="38" s="1"/>
  <c r="Q97" i="8" l="1"/>
  <c r="Y59" i="20" s="1"/>
  <c r="Z59" i="20" s="1"/>
  <c r="S56" i="38"/>
  <c r="K68" i="9"/>
  <c r="G68" i="9" s="1"/>
  <c r="S56" i="20"/>
  <c r="Z12" i="38"/>
  <c r="K52" i="38"/>
  <c r="M97" i="8"/>
  <c r="S98" i="39" s="1"/>
  <c r="T98" i="39" s="1"/>
  <c r="V56" i="20"/>
  <c r="K79" i="9"/>
  <c r="G79" i="9" s="1"/>
  <c r="Y59" i="38" l="1"/>
  <c r="Z59" i="38" s="1"/>
  <c r="Z13" i="20"/>
  <c r="G52" i="20"/>
  <c r="G52" i="38"/>
  <c r="Z13" i="38"/>
  <c r="K97" i="9"/>
  <c r="K52" i="20"/>
  <c r="Z12" i="20"/>
  <c r="G97" i="9" l="1"/>
  <c r="I96" i="9" s="1"/>
  <c r="U98" i="39"/>
  <c r="M98" i="39" s="1"/>
  <c r="J98" i="39"/>
  <c r="I98" i="39"/>
  <c r="H98" i="39"/>
  <c r="D102" i="9" l="1"/>
  <c r="T101" i="8" s="1"/>
  <c r="N101" i="8" s="1"/>
  <c r="D99" i="9"/>
  <c r="T98" i="8" s="1"/>
  <c r="N98" i="8" s="1"/>
  <c r="D97" i="9"/>
  <c r="T97" i="8" s="1"/>
  <c r="N97" i="8" s="1"/>
  <c r="AC98" i="39"/>
  <c r="Z98" i="39" s="1"/>
  <c r="Z130" i="39" s="1"/>
  <c r="W96" i="8" l="1"/>
  <c r="Z56" i="20" s="1"/>
  <c r="AM50" i="38"/>
  <c r="Q96" i="8" l="1"/>
  <c r="Y56" i="20" s="1"/>
  <c r="Z11" i="20" s="1"/>
  <c r="Z56" i="38"/>
  <c r="O52" i="20" l="1"/>
  <c r="K96" i="9"/>
  <c r="G96" i="9" s="1"/>
  <c r="I67" i="9" s="1"/>
  <c r="D68" i="9" s="1"/>
  <c r="T68" i="8" s="1"/>
  <c r="N68" i="8" s="1"/>
  <c r="Y56" i="38"/>
  <c r="Z11" i="38" s="1"/>
  <c r="O52" i="38" l="1"/>
  <c r="D96" i="9"/>
  <c r="T96" i="8" s="1"/>
  <c r="N96" i="8" s="1"/>
  <c r="D79" i="9"/>
  <c r="T79" i="8" s="1"/>
  <c r="N79" i="8" s="1"/>
  <c r="W67" i="8" l="1"/>
  <c r="S9" i="20" s="1"/>
  <c r="S11" i="20" s="1"/>
  <c r="T23" i="20" s="1"/>
  <c r="S9" i="38" l="1"/>
  <c r="S11" i="38" s="1"/>
  <c r="T23" i="38" s="1"/>
  <c r="S25" i="38" s="1"/>
  <c r="Q67" i="8"/>
  <c r="N50" i="38" s="1"/>
  <c r="T25" i="20"/>
  <c r="S25" i="20"/>
  <c r="AR44" i="38"/>
  <c r="AR45" i="38" s="1"/>
  <c r="AR46" i="38" s="1"/>
  <c r="AM41" i="38"/>
  <c r="AM48" i="38"/>
  <c r="T25" i="38" l="1"/>
  <c r="N50" i="20"/>
  <c r="S24" i="8"/>
  <c r="M24" i="8" s="1"/>
  <c r="S75" i="39" l="1"/>
  <c r="T75" i="39" s="1"/>
  <c r="S24" i="39"/>
  <c r="T24" i="39" s="1"/>
  <c r="K24" i="9"/>
  <c r="G24" i="9" s="1"/>
  <c r="I20" i="9" s="1"/>
  <c r="D23" i="9" l="1"/>
  <c r="T23" i="8" s="1"/>
  <c r="N23" i="8" s="1"/>
  <c r="L23" i="9" s="1"/>
  <c r="H23" i="9" s="1"/>
  <c r="D22" i="9"/>
  <c r="T22" i="8" s="1"/>
  <c r="N22" i="8" s="1"/>
  <c r="L22" i="9" s="1"/>
  <c r="H22" i="9" s="1"/>
  <c r="D24" i="9"/>
  <c r="T24" i="8" s="1"/>
  <c r="N24" i="8" s="1"/>
  <c r="L24" i="9" s="1"/>
  <c r="H24" i="9" s="1"/>
  <c r="D21" i="9"/>
  <c r="T21" i="8" s="1"/>
  <c r="J24" i="39"/>
  <c r="I24" i="39"/>
  <c r="U24" i="39"/>
  <c r="M24" i="39" s="1"/>
  <c r="AC23" i="39" s="1"/>
  <c r="Z10" i="39" s="1"/>
  <c r="Z121" i="39" s="1"/>
  <c r="H24" i="39"/>
  <c r="U75" i="39"/>
  <c r="M75" i="39" s="1"/>
  <c r="AC75" i="39" s="1"/>
  <c r="H75" i="39"/>
  <c r="J75" i="39"/>
  <c r="I75" i="39"/>
  <c r="S20" i="8" l="1"/>
  <c r="N21" i="8"/>
  <c r="L21" i="9" s="1"/>
  <c r="H21" i="9" s="1"/>
  <c r="J20" i="9" s="1"/>
  <c r="M20" i="8" l="1"/>
  <c r="K20" i="9" s="1"/>
  <c r="G20" i="9" s="1"/>
  <c r="I9" i="9" s="1"/>
  <c r="W20" i="8"/>
  <c r="Q20" i="8" s="1"/>
  <c r="E24" i="9"/>
  <c r="V24" i="8" s="1"/>
  <c r="P24" i="8" s="1"/>
  <c r="E21" i="9"/>
  <c r="V21" i="8" s="1"/>
  <c r="P21" i="8" s="1"/>
  <c r="E22" i="9"/>
  <c r="V22" i="8" s="1"/>
  <c r="P22" i="8" s="1"/>
  <c r="E23" i="9"/>
  <c r="V23" i="8" s="1"/>
  <c r="P23" i="8" s="1"/>
  <c r="S50" i="20" l="1"/>
  <c r="T50" i="20" s="1"/>
  <c r="S50" i="38"/>
  <c r="T50" i="38" s="1"/>
  <c r="D10" i="9"/>
  <c r="T10" i="8" s="1"/>
  <c r="D28" i="9"/>
  <c r="D25" i="9"/>
  <c r="T25" i="8" s="1"/>
  <c r="N25" i="8" s="1"/>
  <c r="L25" i="9" s="1"/>
  <c r="H25" i="9" s="1"/>
  <c r="D20" i="9"/>
  <c r="T20" i="8" s="1"/>
  <c r="N20" i="8" s="1"/>
  <c r="L20" i="9" s="1"/>
  <c r="H20" i="9" s="1"/>
  <c r="T28" i="8" l="1"/>
  <c r="N28" i="8" s="1"/>
  <c r="L28" i="9" s="1"/>
  <c r="H28" i="9" s="1"/>
  <c r="J9" i="9" s="1"/>
  <c r="E20" i="9" s="1"/>
  <c r="V20" i="8" s="1"/>
  <c r="P20" i="8" s="1"/>
  <c r="N10" i="8"/>
  <c r="W9" i="8" l="1"/>
  <c r="T46" i="20" s="1"/>
  <c r="E28" i="9"/>
  <c r="V28" i="8" s="1"/>
  <c r="P28" i="8" s="1"/>
  <c r="E10" i="9"/>
  <c r="V10" i="8" s="1"/>
  <c r="P10" i="8" s="1"/>
  <c r="E25" i="9"/>
  <c r="V25" i="8" s="1"/>
  <c r="P25" i="8" s="1"/>
  <c r="Q9" i="8" l="1"/>
  <c r="S46" i="38" s="1"/>
  <c r="T46" i="38"/>
  <c r="K9" i="9" l="1"/>
  <c r="G9" i="9" s="1"/>
  <c r="S46" i="20"/>
  <c r="G41" i="20" s="1"/>
  <c r="Z14" i="20"/>
  <c r="G41" i="38"/>
  <c r="Z14" i="38"/>
  <c r="AM43" i="38"/>
  <c r="M52" i="8"/>
  <c r="S38" i="39" s="1"/>
  <c r="T38" i="39" s="1"/>
  <c r="K52" i="9" l="1"/>
  <c r="G52" i="9" s="1"/>
  <c r="I38" i="39"/>
  <c r="H38" i="39"/>
  <c r="J38" i="39"/>
  <c r="U38" i="39"/>
  <c r="M38" i="39" s="1"/>
  <c r="AC38" i="39" s="1"/>
  <c r="Z36" i="39" s="1"/>
  <c r="Z123" i="39" s="1"/>
  <c r="S64" i="39"/>
  <c r="T64" i="39" s="1"/>
  <c r="I51" i="9" l="1"/>
  <c r="D57" i="9" s="1"/>
  <c r="T57" i="8" s="1"/>
  <c r="N57" i="8" s="1"/>
  <c r="L57" i="9" s="1"/>
  <c r="H57" i="9" s="1"/>
  <c r="I64" i="39"/>
  <c r="H64" i="39"/>
  <c r="U64" i="39"/>
  <c r="M64" i="39" s="1"/>
  <c r="AC64" i="39" s="1"/>
  <c r="Z63" i="39" s="1"/>
  <c r="Z128" i="39" s="1"/>
  <c r="Z119" i="39" s="1"/>
  <c r="AA119" i="39" s="1"/>
  <c r="J64" i="39"/>
  <c r="D54" i="9" l="1"/>
  <c r="T54" i="8" s="1"/>
  <c r="N54" i="8" s="1"/>
  <c r="L54" i="9" s="1"/>
  <c r="H54" i="9" s="1"/>
  <c r="J51" i="9" s="1"/>
  <c r="E52" i="9" s="1"/>
  <c r="V52" i="8" s="1"/>
  <c r="P52" i="8" s="1"/>
  <c r="D52" i="9"/>
  <c r="T52" i="8" s="1"/>
  <c r="N52" i="8" s="1"/>
  <c r="S51" i="8" l="1"/>
  <c r="E54" i="9"/>
  <c r="V54" i="8" s="1"/>
  <c r="P54" i="8" s="1"/>
  <c r="E57" i="9"/>
  <c r="V57" i="8" s="1"/>
  <c r="W51" i="8" l="1"/>
  <c r="Q51" i="8" s="1"/>
  <c r="M51" i="8"/>
  <c r="K51" i="9" s="1"/>
  <c r="G51" i="9" s="1"/>
  <c r="I34" i="9" s="1"/>
  <c r="D35" i="9" l="1"/>
  <c r="T35" i="8" s="1"/>
  <c r="D46" i="9"/>
  <c r="T46" i="8" s="1"/>
  <c r="N46" i="8" s="1"/>
  <c r="L46" i="9" s="1"/>
  <c r="H46" i="9" s="1"/>
  <c r="D51" i="9"/>
  <c r="T51" i="8" s="1"/>
  <c r="N51" i="8" s="1"/>
  <c r="L51" i="9" s="1"/>
  <c r="H51" i="9" s="1"/>
  <c r="V51" i="20"/>
  <c r="W51" i="20" s="1"/>
  <c r="V51" i="38"/>
  <c r="W51" i="38" s="1"/>
  <c r="W34" i="8" l="1"/>
  <c r="N35" i="8"/>
  <c r="L35" i="9" s="1"/>
  <c r="H35" i="9" s="1"/>
  <c r="J34" i="9" s="1"/>
  <c r="E51" i="9" l="1"/>
  <c r="V51" i="8" s="1"/>
  <c r="P51" i="8" s="1"/>
  <c r="E46" i="9"/>
  <c r="V46" i="8" s="1"/>
  <c r="P46" i="8" s="1"/>
  <c r="E35" i="9"/>
  <c r="V35" i="8" s="1"/>
  <c r="P35" i="8" s="1"/>
  <c r="W46" i="20"/>
  <c r="W46" i="38"/>
  <c r="Q34" i="8"/>
  <c r="V46" i="38" l="1"/>
  <c r="V46" i="20"/>
  <c r="K34" i="9"/>
  <c r="G34" i="9" s="1"/>
  <c r="I8" i="9" s="1"/>
  <c r="K41" i="20" l="1"/>
  <c r="Z9" i="20"/>
  <c r="D9" i="9"/>
  <c r="T9" i="8" s="1"/>
  <c r="D34" i="9"/>
  <c r="T34" i="8" s="1"/>
  <c r="N34" i="8" s="1"/>
  <c r="D60" i="9"/>
  <c r="T60" i="8" s="1"/>
  <c r="N60" i="8" s="1"/>
  <c r="K41" i="38"/>
  <c r="Z9" i="38"/>
  <c r="N9" i="8" l="1"/>
  <c r="W8" i="8"/>
  <c r="S8" i="20" l="1"/>
  <c r="S10" i="20" s="1"/>
  <c r="S8" i="38"/>
  <c r="S10" i="38" s="1"/>
  <c r="Q8" i="8"/>
  <c r="S12" i="20" l="1"/>
  <c r="S13" i="20" s="1"/>
  <c r="C23" i="20" s="1"/>
  <c r="T24" i="20"/>
  <c r="T24" i="38"/>
  <c r="S12" i="38"/>
  <c r="S13" i="38" s="1"/>
  <c r="C23" i="38" s="1"/>
  <c r="N39" i="20"/>
  <c r="N39" i="38"/>
  <c r="S16" i="20" l="1"/>
  <c r="S17" i="20" s="1"/>
  <c r="T26" i="38"/>
  <c r="U26" i="38"/>
  <c r="U26" i="20"/>
  <c r="T26" i="20"/>
  <c r="S16" i="38"/>
  <c r="S1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Junko ENDO</author>
  </authors>
  <commentList>
    <comment ref="C12" authorId="0" shapeId="0" xr:uid="{00000000-0006-0000-0300-000001000000}">
      <text>
        <r>
          <rPr>
            <sz val="9"/>
            <color indexed="81"/>
            <rFont val="ＭＳ Ｐゴシック"/>
            <family val="3"/>
            <charset val="128"/>
          </rPr>
          <t>2003/6等と入力して下さい。2003年6月と表示されます。</t>
        </r>
      </text>
    </comment>
    <comment ref="C32" authorId="0" shapeId="0" xr:uid="{00000000-0006-0000-0300-000002000000}">
      <text>
        <r>
          <rPr>
            <sz val="9"/>
            <color indexed="81"/>
            <rFont val="ＭＳ Ｐゴシック"/>
            <family val="3"/>
            <charset val="128"/>
          </rPr>
          <t>2010/7/29等と入力して下さい。2010年7月29日と表示されます。</t>
        </r>
      </text>
    </comment>
    <comment ref="B34" authorId="1" shapeId="0" xr:uid="{00000000-0006-0000-0300-000003000000}">
      <text>
        <r>
          <rPr>
            <sz val="9"/>
            <color indexed="81"/>
            <rFont val="ＭＳ Ｐゴシック"/>
            <family val="3"/>
            <charset val="128"/>
          </rPr>
          <t>第３者による評価結果の確認などを行っている場合は記述する。</t>
        </r>
      </text>
    </comment>
    <comment ref="C34" authorId="0" shapeId="0" xr:uid="{00000000-0006-0000-0300-000004000000}">
      <text>
        <r>
          <rPr>
            <sz val="9"/>
            <color indexed="81"/>
            <rFont val="ＭＳ Ｐゴシック"/>
            <family val="3"/>
            <charset val="128"/>
          </rPr>
          <t>2010/7/29等と入力して下さい。2010年7月29日と表示されます。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Junko ENDO</author>
  </authors>
  <commentList>
    <comment ref="D142" authorId="0" shapeId="0" xr:uid="{1DAAFA28-12D9-4977-849C-7112A8F0C768}">
      <text>
        <r>
          <rPr>
            <b/>
            <sz val="9"/>
            <color indexed="81"/>
            <rFont val="MS P ゴシック"/>
            <family val="3"/>
            <charset val="128"/>
          </rPr>
          <t>Junko ENDO:</t>
        </r>
        <r>
          <rPr>
            <sz val="9"/>
            <color indexed="81"/>
            <rFont val="MS P ゴシック"/>
            <family val="3"/>
            <charset val="128"/>
          </rPr>
          <t xml:space="preserve">
マニュアル原稿とタイトル違う</t>
        </r>
      </text>
    </comment>
    <comment ref="F150" authorId="0" shapeId="0" xr:uid="{42C5C5D6-3333-4854-A0AE-2E7ADA1C1C06}">
      <text>
        <r>
          <rPr>
            <b/>
            <sz val="9"/>
            <color indexed="81"/>
            <rFont val="MS P ゴシック"/>
            <family val="3"/>
            <charset val="128"/>
          </rPr>
          <t>Junko ENDO:</t>
        </r>
        <r>
          <rPr>
            <sz val="9"/>
            <color indexed="81"/>
            <rFont val="MS P ゴシック"/>
            <family val="3"/>
            <charset val="128"/>
          </rPr>
          <t xml:space="preserve">
トータル
４項目か５項目か？？？</t>
        </r>
      </text>
    </comment>
    <comment ref="D163" authorId="0" shapeId="0" xr:uid="{8381B739-6E7F-4A2D-B2D8-655573A25402}">
      <text>
        <r>
          <rPr>
            <b/>
            <sz val="9"/>
            <color indexed="81"/>
            <rFont val="MS P ゴシック"/>
            <family val="3"/>
            <charset val="128"/>
          </rPr>
          <t>Junko ENDO:</t>
        </r>
        <r>
          <rPr>
            <sz val="9"/>
            <color indexed="81"/>
            <rFont val="MS P ゴシック"/>
            <family val="3"/>
            <charset val="128"/>
          </rPr>
          <t xml:space="preserve">
マニュアル原稿とタイトル違う</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s>
  <commentList>
    <comment ref="H11" authorId="0" shapeId="0" xr:uid="{9E16A366-BAEE-40BB-8EE6-32B8CB3F344A}">
      <text>
        <r>
          <rPr>
            <sz val="9"/>
            <color indexed="81"/>
            <rFont val="ＭＳ Ｐゴシック"/>
            <family val="3"/>
            <charset val="128"/>
          </rPr>
          <t>2010/7/29等と入力して下さい。2010年7月29日と表示されます。</t>
        </r>
      </text>
    </comment>
  </commentList>
</comments>
</file>

<file path=xl/sharedStrings.xml><?xml version="1.0" encoding="utf-8"?>
<sst xmlns="http://schemas.openxmlformats.org/spreadsheetml/2006/main" count="4664" uniqueCount="2182">
  <si>
    <t>■建物全体</t>
    <rPh sb="1" eb="3">
      <t>タテモノ</t>
    </rPh>
    <rPh sb="3" eb="5">
      <t>ゼンタイ</t>
    </rPh>
    <phoneticPr fontId="4"/>
  </si>
  <si>
    <t>㎡</t>
    <phoneticPr fontId="4"/>
  </si>
  <si>
    <t>重み係数＝</t>
    <rPh sb="0" eb="1">
      <t>オモ</t>
    </rPh>
    <rPh sb="2" eb="4">
      <t>ケイスウ</t>
    </rPh>
    <phoneticPr fontId="4"/>
  </si>
  <si>
    <r>
      <t>具体的な取組み</t>
    </r>
    <r>
      <rPr>
        <sz val="9"/>
        <rFont val="ＭＳ Ｐゴシック"/>
        <family val="3"/>
        <charset val="128"/>
      </rPr>
      <t>（概ね30文字）</t>
    </r>
    <rPh sb="0" eb="3">
      <t>グタイテキ</t>
    </rPh>
    <rPh sb="4" eb="6">
      <t>トリク</t>
    </rPh>
    <rPh sb="8" eb="9">
      <t>オオム</t>
    </rPh>
    <rPh sb="12" eb="14">
      <t>モジ</t>
    </rPh>
    <phoneticPr fontId="4"/>
  </si>
  <si>
    <t>ａ</t>
    <phoneticPr fontId="4"/>
  </si>
  <si>
    <t>ｂ</t>
    <phoneticPr fontId="4"/>
  </si>
  <si>
    <t>ｃ</t>
    <phoneticPr fontId="4"/>
  </si>
  <si>
    <t>ａ</t>
    <phoneticPr fontId="4"/>
  </si>
  <si>
    <t>ｂ</t>
    <phoneticPr fontId="4"/>
  </si>
  <si>
    <t>その１．
配管の増設・交換容易性</t>
    <rPh sb="11" eb="13">
      <t>コウカン</t>
    </rPh>
    <rPh sb="13" eb="16">
      <t>ヨウイセイ</t>
    </rPh>
    <phoneticPr fontId="4"/>
  </si>
  <si>
    <t>その２．
電気幹線容量計画</t>
    <phoneticPr fontId="4"/>
  </si>
  <si>
    <t>取組みなし。</t>
    <phoneticPr fontId="4"/>
  </si>
  <si>
    <t>評価する取組みのうち１つに該当する。</t>
    <phoneticPr fontId="4"/>
  </si>
  <si>
    <t>評価する取組みのうち２つ以上に該当する。</t>
    <phoneticPr fontId="4"/>
  </si>
  <si>
    <t>評価する取組み</t>
    <phoneticPr fontId="4"/>
  </si>
  <si>
    <t>野鳥等が隠れたり営巣したりできる空間の確保に取組んでいる。</t>
    <phoneticPr fontId="4"/>
  </si>
  <si>
    <t>野鳥等が水を飲んだり水浴びができるような水場の確保に取組んでいる。</t>
    <phoneticPr fontId="4"/>
  </si>
  <si>
    <t>分類</t>
    <rPh sb="0" eb="2">
      <t>ブンルイ</t>
    </rPh>
    <phoneticPr fontId="4"/>
  </si>
  <si>
    <t>一部</t>
    <rPh sb="0" eb="2">
      <t>イチブ</t>
    </rPh>
    <phoneticPr fontId="4"/>
  </si>
  <si>
    <t>過半</t>
    <rPh sb="0" eb="2">
      <t>カハン</t>
    </rPh>
    <phoneticPr fontId="4"/>
  </si>
  <si>
    <t>その1</t>
    <phoneticPr fontId="4"/>
  </si>
  <si>
    <t>その２</t>
    <phoneticPr fontId="4"/>
  </si>
  <si>
    <t>0.4≦評価する取組みにおける得点率（③）＜0.6</t>
    <phoneticPr fontId="4"/>
  </si>
  <si>
    <t>0.6≦評価する取組みにおける得点率（③）＜0.8</t>
    <phoneticPr fontId="4"/>
  </si>
  <si>
    <t>0.8≦評価する取組みにおける得点率（③）</t>
    <phoneticPr fontId="4"/>
  </si>
  <si>
    <t>構造躯体用部材の生産・加工段階における副産物の発生抑制、リサイクル推進に対する取組みの指示が無く、かつ実際の取組みも行われていない。</t>
    <phoneticPr fontId="4"/>
  </si>
  <si>
    <t>構造躯体用部材の生産・加工段階における副産物の発生抑制、リサイクル推進に対する取組みについて設計図書等で指示されているか、または実際の取組みが行われている。</t>
    <phoneticPr fontId="4"/>
  </si>
  <si>
    <t>住まい手に対して、住宅に使用されている材料のリサイクルや廃棄に対する情報提供を行っていない。</t>
    <phoneticPr fontId="4"/>
  </si>
  <si>
    <t>騒音・振動の発生源への取組み</t>
    <phoneticPr fontId="4"/>
  </si>
  <si>
    <t>排気・排熱の発生源への取組み</t>
    <phoneticPr fontId="4"/>
  </si>
  <si>
    <t>■階数</t>
    <rPh sb="1" eb="3">
      <t>カイスウ</t>
    </rPh>
    <phoneticPr fontId="4"/>
  </si>
  <si>
    <r>
      <t xml:space="preserve">■ </t>
    </r>
    <r>
      <rPr>
        <sz val="10"/>
        <rFont val="ＭＳ Ｐゴシック"/>
        <family val="3"/>
        <charset val="128"/>
      </rPr>
      <t>確認日</t>
    </r>
    <rPh sb="2" eb="4">
      <t>カクニン</t>
    </rPh>
    <rPh sb="4" eb="5">
      <t>ビ</t>
    </rPh>
    <phoneticPr fontId="4"/>
  </si>
  <si>
    <r>
      <t xml:space="preserve">■ </t>
    </r>
    <r>
      <rPr>
        <sz val="10"/>
        <rFont val="ＭＳ Ｐゴシック"/>
        <family val="3"/>
        <charset val="128"/>
      </rPr>
      <t>確認者</t>
    </r>
    <rPh sb="2" eb="4">
      <t>カクニン</t>
    </rPh>
    <rPh sb="4" eb="5">
      <t>シャ</t>
    </rPh>
    <phoneticPr fontId="4"/>
  </si>
  <si>
    <t>延床面積</t>
    <rPh sb="0" eb="1">
      <t>ﾉ</t>
    </rPh>
    <rPh sb="1" eb="4">
      <t>ﾕｶﾒﾝｾｷ</t>
    </rPh>
    <phoneticPr fontId="18" type="noConversion"/>
  </si>
  <si>
    <t>重み係数（既定）</t>
    <rPh sb="0" eb="1">
      <t>オモ</t>
    </rPh>
    <rPh sb="2" eb="4">
      <t>ケイスウ</t>
    </rPh>
    <rPh sb="5" eb="7">
      <t>キテイ</t>
    </rPh>
    <phoneticPr fontId="4"/>
  </si>
  <si>
    <t>評価する取組み</t>
    <rPh sb="0" eb="2">
      <t>ヒョウカ</t>
    </rPh>
    <rPh sb="4" eb="5">
      <t>ト</t>
    </rPh>
    <rPh sb="5" eb="6">
      <t>ク</t>
    </rPh>
    <phoneticPr fontId="4"/>
  </si>
  <si>
    <t>該当する開口部の日射侵入率を、夏期には0.30以下とでき、かつ冬期には概ね0.6以上とできる。</t>
    <phoneticPr fontId="4"/>
  </si>
  <si>
    <t>レベル３を満たさない。</t>
    <phoneticPr fontId="4"/>
  </si>
  <si>
    <t>主要な居室において、二方向に開口部がある、または一方向開口でも通風・排熱を促進する取組みがなされている。</t>
    <phoneticPr fontId="4"/>
  </si>
  <si>
    <t>レベル1</t>
    <phoneticPr fontId="4"/>
  </si>
  <si>
    <t>レベル3</t>
    <phoneticPr fontId="4"/>
  </si>
  <si>
    <t>レベル5</t>
    <phoneticPr fontId="4"/>
  </si>
  <si>
    <t>主要な居室において、適切な冷房計画が行われている。</t>
    <phoneticPr fontId="4"/>
  </si>
  <si>
    <t>主要な居室において、特に配慮なし。</t>
    <phoneticPr fontId="4"/>
  </si>
  <si>
    <t>長寿命に対する基本性能</t>
  </si>
  <si>
    <t>外壁材</t>
  </si>
  <si>
    <t>&lt;備考&gt;</t>
    <rPh sb="1" eb="3">
      <t>ビコウ</t>
    </rPh>
    <phoneticPr fontId="4"/>
  </si>
  <si>
    <t>■評価ソフト：</t>
    <rPh sb="1" eb="3">
      <t>ヒョウカ</t>
    </rPh>
    <phoneticPr fontId="4"/>
  </si>
  <si>
    <t>住まい方の堤示</t>
  </si>
  <si>
    <t>1.1.1.3</t>
  </si>
  <si>
    <t>1.2.1.1</t>
  </si>
  <si>
    <t>1.3</t>
  </si>
  <si>
    <t>1.3.2</t>
  </si>
  <si>
    <t>スコアシート</t>
    <phoneticPr fontId="18" type="noConversion"/>
  </si>
  <si>
    <t>全体</t>
    <phoneticPr fontId="4"/>
  </si>
  <si>
    <t>-</t>
    <phoneticPr fontId="4"/>
  </si>
  <si>
    <t>① 建物概要</t>
    <rPh sb="2" eb="4">
      <t>タテモノ</t>
    </rPh>
    <rPh sb="4" eb="6">
      <t>ガイヨウ</t>
    </rPh>
    <phoneticPr fontId="4"/>
  </si>
  <si>
    <t>■建築面積</t>
    <rPh sb="1" eb="3">
      <t>ｹﾝﾁｸ</t>
    </rPh>
    <rPh sb="3" eb="5">
      <t>ﾒﾝｾｷ</t>
    </rPh>
    <phoneticPr fontId="18" type="noConversion"/>
  </si>
  <si>
    <t>㎡</t>
    <phoneticPr fontId="4"/>
  </si>
  <si>
    <t>集合住宅</t>
  </si>
  <si>
    <t>■延床面積</t>
    <rPh sb="1" eb="2">
      <t>ﾉ</t>
    </rPh>
    <rPh sb="2" eb="5">
      <t>ﾕｶﾒﾝｾｷ</t>
    </rPh>
    <phoneticPr fontId="18" type="noConversion"/>
  </si>
  <si>
    <t>集会所</t>
    <rPh sb="2" eb="3">
      <t>ショ</t>
    </rPh>
    <phoneticPr fontId="4"/>
  </si>
  <si>
    <t>工場</t>
    <rPh sb="0" eb="2">
      <t>コウジョウ</t>
    </rPh>
    <phoneticPr fontId="4"/>
  </si>
  <si>
    <t>合計</t>
    <rPh sb="0" eb="2">
      <t>ゴウケイ</t>
    </rPh>
    <phoneticPr fontId="4"/>
  </si>
  <si>
    <t>補正前</t>
    <rPh sb="0" eb="2">
      <t>ホセイ</t>
    </rPh>
    <rPh sb="2" eb="3">
      <t>マエ</t>
    </rPh>
    <phoneticPr fontId="4"/>
  </si>
  <si>
    <t>補正後</t>
    <rPh sb="0" eb="2">
      <t>ホセイ</t>
    </rPh>
    <rPh sb="2" eb="3">
      <t>ゴ</t>
    </rPh>
    <phoneticPr fontId="4"/>
  </si>
  <si>
    <t>色欄について、プルダウンメニューから選択、または数値・コメントを記入のこと</t>
    <rPh sb="0" eb="1">
      <t>イロ</t>
    </rPh>
    <rPh sb="1" eb="2">
      <t>ラン</t>
    </rPh>
    <rPh sb="18" eb="20">
      <t>センタク</t>
    </rPh>
    <rPh sb="24" eb="26">
      <t>スウチ</t>
    </rPh>
    <rPh sb="32" eb="34">
      <t>キニュウ</t>
    </rPh>
    <phoneticPr fontId="4"/>
  </si>
  <si>
    <t>←</t>
    <phoneticPr fontId="4"/>
  </si>
  <si>
    <t>-</t>
    <phoneticPr fontId="4"/>
  </si>
  <si>
    <t>建物用途名</t>
  </si>
  <si>
    <t>延床面積</t>
  </si>
  <si>
    <t>■建物名称</t>
    <rPh sb="1" eb="3">
      <t>ﾀﾃﾓﾉ</t>
    </rPh>
    <rPh sb="3" eb="5">
      <t>ﾒｲｼｮｳ</t>
    </rPh>
    <phoneticPr fontId="18" type="noConversion"/>
  </si>
  <si>
    <t>学校</t>
  </si>
  <si>
    <t>㎡</t>
    <phoneticPr fontId="4"/>
  </si>
  <si>
    <t>物販店</t>
  </si>
  <si>
    <t>飲食店</t>
  </si>
  <si>
    <t>周辺温熱環境の改善</t>
  </si>
  <si>
    <t>特に取り組みなし</t>
    <phoneticPr fontId="4"/>
  </si>
  <si>
    <t>No.</t>
    <phoneticPr fontId="4"/>
  </si>
  <si>
    <t>既存の自然環境の保全</t>
    <rPh sb="0" eb="2">
      <t>キソン</t>
    </rPh>
    <rPh sb="3" eb="5">
      <t>シゼン</t>
    </rPh>
    <rPh sb="5" eb="7">
      <t>カンキョウ</t>
    </rPh>
    <rPh sb="8" eb="10">
      <t>ホゼン</t>
    </rPh>
    <phoneticPr fontId="4"/>
  </si>
  <si>
    <t>取組み</t>
    <phoneticPr fontId="4"/>
  </si>
  <si>
    <t>評価結果表示シート</t>
    <rPh sb="0" eb="2">
      <t>ヒョウカ</t>
    </rPh>
    <rPh sb="2" eb="4">
      <t>ケッカ</t>
    </rPh>
    <rPh sb="4" eb="6">
      <t>ヒョウジ</t>
    </rPh>
    <phoneticPr fontId="4"/>
  </si>
  <si>
    <t>■レベル　1</t>
    <phoneticPr fontId="4"/>
  </si>
  <si>
    <t>■レベル　2</t>
  </si>
  <si>
    <t>■レベル　3</t>
  </si>
  <si>
    <t>■レベル　4</t>
  </si>
  <si>
    <t>■レベル　5</t>
  </si>
  <si>
    <t>対象外</t>
    <rPh sb="0" eb="2">
      <t>タイショウ</t>
    </rPh>
    <rPh sb="2" eb="3">
      <t>ガイ</t>
    </rPh>
    <phoneticPr fontId="4"/>
  </si>
  <si>
    <t>プルダウン選択肢</t>
    <rPh sb="5" eb="8">
      <t>センタクシ</t>
    </rPh>
    <phoneticPr fontId="4"/>
  </si>
  <si>
    <t>ON</t>
    <phoneticPr fontId="4"/>
  </si>
  <si>
    <t>○</t>
    <phoneticPr fontId="4"/>
  </si>
  <si>
    <t>はい</t>
    <phoneticPr fontId="4"/>
  </si>
  <si>
    <t>○</t>
    <phoneticPr fontId="4"/>
  </si>
  <si>
    <t>いいえ</t>
    <phoneticPr fontId="4"/>
  </si>
  <si>
    <t>ON</t>
    <phoneticPr fontId="4"/>
  </si>
  <si>
    <t>■使用評価マニュアル：</t>
    <rPh sb="1" eb="3">
      <t>シヨウ</t>
    </rPh>
    <rPh sb="3" eb="5">
      <t>ヒョウカ</t>
    </rPh>
    <phoneticPr fontId="4"/>
  </si>
  <si>
    <t>-</t>
    <phoneticPr fontId="4"/>
  </si>
  <si>
    <t>評価しない</t>
    <rPh sb="0" eb="2">
      <t>ヒョウカ</t>
    </rPh>
    <phoneticPr fontId="4"/>
  </si>
  <si>
    <t>既定重み</t>
    <rPh sb="0" eb="2">
      <t>キテイ</t>
    </rPh>
    <rPh sb="2" eb="3">
      <t>オモ</t>
    </rPh>
    <phoneticPr fontId="4"/>
  </si>
  <si>
    <t>住居宿泊</t>
    <rPh sb="0" eb="2">
      <t>ジュウキョ</t>
    </rPh>
    <rPh sb="2" eb="4">
      <t>シュクハク</t>
    </rPh>
    <phoneticPr fontId="4"/>
  </si>
  <si>
    <t>適切な換気計画</t>
    <phoneticPr fontId="4"/>
  </si>
  <si>
    <t>その他</t>
  </si>
  <si>
    <t>採点表2</t>
    <rPh sb="0" eb="2">
      <t>サイテン</t>
    </rPh>
    <rPh sb="2" eb="3">
      <t>ヒョウ</t>
    </rPh>
    <phoneticPr fontId="4"/>
  </si>
  <si>
    <t>採点表1</t>
    <rPh sb="0" eb="2">
      <t>サイテン</t>
    </rPh>
    <rPh sb="2" eb="3">
      <t>ヒョウ</t>
    </rPh>
    <phoneticPr fontId="4"/>
  </si>
  <si>
    <t>採点表3</t>
    <rPh sb="0" eb="2">
      <t>サイテン</t>
    </rPh>
    <rPh sb="2" eb="3">
      <t>ヒョウ</t>
    </rPh>
    <phoneticPr fontId="4"/>
  </si>
  <si>
    <t>混合セメント（高炉セメント、フライアッシュセメント）またはエコセメントを用いている。</t>
    <phoneticPr fontId="4"/>
  </si>
  <si>
    <t>再生骨材またはコンクリート用スラグ骨材を用いている。</t>
    <phoneticPr fontId="4"/>
  </si>
  <si>
    <t>地盤改良材として、地盤改良用製鋼スラグを用いている。</t>
    <phoneticPr fontId="4"/>
  </si>
  <si>
    <t>background</t>
    <phoneticPr fontId="4"/>
  </si>
  <si>
    <t>仮称</t>
    <rPh sb="0" eb="2">
      <t>カショウ</t>
    </rPh>
    <phoneticPr fontId="4"/>
  </si>
  <si>
    <t>予定</t>
    <rPh sb="0" eb="2">
      <t>ヨテイ</t>
    </rPh>
    <phoneticPr fontId="4"/>
  </si>
  <si>
    <t>竣工</t>
    <rPh sb="0" eb="2">
      <t>シュンコウ</t>
    </rPh>
    <phoneticPr fontId="4"/>
  </si>
  <si>
    <t>竣工年月</t>
    <rPh sb="0" eb="2">
      <t>ｼｭﾝｺｳ</t>
    </rPh>
    <rPh sb="2" eb="3">
      <t>ﾈﾝ</t>
    </rPh>
    <rPh sb="3" eb="4">
      <t>げつ</t>
    </rPh>
    <phoneticPr fontId="18" type="noConversion"/>
  </si>
  <si>
    <t>■竣工年月 (予定/竣工)</t>
    <rPh sb="1" eb="3">
      <t>ｼｭﾝｺｳ</t>
    </rPh>
    <rPh sb="3" eb="4">
      <t>ﾈﾝ</t>
    </rPh>
    <rPh sb="4" eb="5">
      <t>げつ</t>
    </rPh>
    <rPh sb="7" eb="9">
      <t>ﾖﾃｲ</t>
    </rPh>
    <rPh sb="10" eb="12">
      <t>ｼｭﾝｺｳ</t>
    </rPh>
    <phoneticPr fontId="18" type="noConversion"/>
  </si>
  <si>
    <t>radar chart</t>
    <phoneticPr fontId="4"/>
  </si>
  <si>
    <t>Q2</t>
    <phoneticPr fontId="4"/>
  </si>
  <si>
    <t>Q3</t>
    <phoneticPr fontId="4"/>
  </si>
  <si>
    <t>LR3</t>
    <phoneticPr fontId="4"/>
  </si>
  <si>
    <t>LR2</t>
    <phoneticPr fontId="4"/>
  </si>
  <si>
    <t>LR1</t>
    <phoneticPr fontId="4"/>
  </si>
  <si>
    <t>Q1</t>
    <phoneticPr fontId="4"/>
  </si>
  <si>
    <t>Rank(red star)</t>
    <phoneticPr fontId="4"/>
  </si>
  <si>
    <t>(blank star)</t>
    <phoneticPr fontId="4"/>
  </si>
  <si>
    <t>BEE rank</t>
    <phoneticPr fontId="4"/>
  </si>
  <si>
    <t>BEE chart</t>
    <phoneticPr fontId="4"/>
  </si>
  <si>
    <t>BEE(Round)</t>
    <phoneticPr fontId="4"/>
  </si>
  <si>
    <t>Ref</t>
    <phoneticPr fontId="4"/>
  </si>
  <si>
    <t>Sum</t>
    <phoneticPr fontId="4"/>
  </si>
  <si>
    <t>％</t>
    <phoneticPr fontId="4"/>
  </si>
  <si>
    <t>LCCO2(kg-CO2/ym2)</t>
    <phoneticPr fontId="4"/>
  </si>
  <si>
    <t>建設</t>
    <rPh sb="0" eb="2">
      <t>ケンセツ</t>
    </rPh>
    <phoneticPr fontId="4"/>
  </si>
  <si>
    <t>居住</t>
    <rPh sb="0" eb="2">
      <t>キョジュウ</t>
    </rPh>
    <phoneticPr fontId="4"/>
  </si>
  <si>
    <t>地球環境に配慮する</t>
    <rPh sb="0" eb="2">
      <t>チキュウ</t>
    </rPh>
    <rPh sb="2" eb="4">
      <t>カンキョウ</t>
    </rPh>
    <rPh sb="5" eb="7">
      <t>ハイリョ</t>
    </rPh>
    <phoneticPr fontId="4"/>
  </si>
  <si>
    <t>地域環境に配慮する</t>
    <rPh sb="0" eb="2">
      <t>チイキ</t>
    </rPh>
    <rPh sb="2" eb="4">
      <t>カンキョウ</t>
    </rPh>
    <rPh sb="5" eb="7">
      <t>ハイリョ</t>
    </rPh>
    <phoneticPr fontId="4"/>
  </si>
  <si>
    <t>周辺環境に配慮する</t>
    <rPh sb="0" eb="2">
      <t>シュウヘン</t>
    </rPh>
    <rPh sb="2" eb="4">
      <t>カンキョウ</t>
    </rPh>
    <rPh sb="5" eb="7">
      <t>ハイリョ</t>
    </rPh>
    <phoneticPr fontId="4"/>
  </si>
  <si>
    <t>維持管理の計画・体制</t>
    <rPh sb="0" eb="2">
      <t>イジ</t>
    </rPh>
    <rPh sb="2" eb="4">
      <t>カンリ</t>
    </rPh>
    <rPh sb="5" eb="7">
      <t>ケイカク</t>
    </rPh>
    <rPh sb="8" eb="10">
      <t>タイセイ</t>
    </rPh>
    <phoneticPr fontId="4"/>
  </si>
  <si>
    <t>建築時から将来を見据えて、定期的な点検・補修等に関する計画が策定されている。</t>
    <rPh sb="0" eb="2">
      <t>ケンチク</t>
    </rPh>
    <rPh sb="2" eb="3">
      <t>ジ</t>
    </rPh>
    <rPh sb="5" eb="7">
      <t>ショウライ</t>
    </rPh>
    <rPh sb="8" eb="10">
      <t>ミス</t>
    </rPh>
    <rPh sb="13" eb="16">
      <t>テイキテキ</t>
    </rPh>
    <rPh sb="17" eb="19">
      <t>テンケン</t>
    </rPh>
    <rPh sb="20" eb="22">
      <t>ホシュウ</t>
    </rPh>
    <rPh sb="22" eb="23">
      <t>ナド</t>
    </rPh>
    <rPh sb="24" eb="25">
      <t>カン</t>
    </rPh>
    <rPh sb="27" eb="29">
      <t>ケイカク</t>
    </rPh>
    <rPh sb="30" eb="32">
      <t>サクテイ</t>
    </rPh>
    <phoneticPr fontId="4"/>
  </si>
  <si>
    <t>周辺のまちなみや景観に対して配慮されておらず、まちなみや景観から突出し、調和していない。</t>
    <phoneticPr fontId="4"/>
  </si>
  <si>
    <t>評価する取組み１を行っている。または評価する取組み２の①～⑤のいずれか３つを行っている。</t>
    <phoneticPr fontId="4"/>
  </si>
  <si>
    <t>近隣のまちなみとの調和</t>
    <rPh sb="0" eb="2">
      <t>キンリン</t>
    </rPh>
    <rPh sb="9" eb="11">
      <t>チョウワ</t>
    </rPh>
    <phoneticPr fontId="4"/>
  </si>
  <si>
    <t>良好な景観形成への積極的な配慮</t>
    <rPh sb="0" eb="2">
      <t>リョウコウ</t>
    </rPh>
    <rPh sb="3" eb="5">
      <t>ケイカン</t>
    </rPh>
    <rPh sb="5" eb="7">
      <t>ケイセイ</t>
    </rPh>
    <rPh sb="9" eb="12">
      <t>セッキョクテキ</t>
    </rPh>
    <rPh sb="13" eb="15">
      <t>ハイリョ</t>
    </rPh>
    <phoneticPr fontId="4"/>
  </si>
  <si>
    <t>以下の全ての要素が、近隣の住宅や街区のまちなみから突出せず、連続或いは調和させている。
・住宅本体の配置（特に前面道路との関係）
・住宅本体の高さ・屋根形状
・住宅本体の外壁・屋根の色彩
・接道部の塀・垣、緑
・その他、カーポート、屋外設備、物置などの配置、色、形状</t>
    <rPh sb="3" eb="4">
      <t>スベ</t>
    </rPh>
    <rPh sb="6" eb="8">
      <t>ヨウソ</t>
    </rPh>
    <rPh sb="16" eb="18">
      <t>ガイク</t>
    </rPh>
    <phoneticPr fontId="4"/>
  </si>
  <si>
    <t>住宅本体の配置や高さ・屋根形状などについて、場所に応じた工夫が行われている。</t>
    <rPh sb="0" eb="2">
      <t>ジュウタク</t>
    </rPh>
    <rPh sb="2" eb="4">
      <t>ホンタイ</t>
    </rPh>
    <rPh sb="5" eb="7">
      <t>ハイチ</t>
    </rPh>
    <rPh sb="8" eb="9">
      <t>タカ</t>
    </rPh>
    <rPh sb="11" eb="13">
      <t>ヤネ</t>
    </rPh>
    <rPh sb="13" eb="15">
      <t>ケイジョウ</t>
    </rPh>
    <rPh sb="22" eb="24">
      <t>バショ</t>
    </rPh>
    <rPh sb="25" eb="26">
      <t>オウ</t>
    </rPh>
    <rPh sb="28" eb="30">
      <t>クフウ</t>
    </rPh>
    <rPh sb="31" eb="32">
      <t>オコナ</t>
    </rPh>
    <phoneticPr fontId="4"/>
  </si>
  <si>
    <t>住宅本体の外壁や屋根の色彩、窓の形状や配置などについて、場所に応じた工夫が行われている。</t>
    <rPh sb="0" eb="2">
      <t>ジュウタク</t>
    </rPh>
    <rPh sb="2" eb="4">
      <t>ホンタイ</t>
    </rPh>
    <rPh sb="5" eb="7">
      <t>ガイヘキ</t>
    </rPh>
    <rPh sb="8" eb="10">
      <t>ヤネ</t>
    </rPh>
    <rPh sb="11" eb="13">
      <t>シキサイ</t>
    </rPh>
    <rPh sb="14" eb="15">
      <t>マド</t>
    </rPh>
    <rPh sb="16" eb="18">
      <t>ケイジョウ</t>
    </rPh>
    <rPh sb="19" eb="21">
      <t>ハイチ</t>
    </rPh>
    <rPh sb="28" eb="30">
      <t>バショ</t>
    </rPh>
    <rPh sb="31" eb="32">
      <t>オウ</t>
    </rPh>
    <rPh sb="34" eb="36">
      <t>クフウ</t>
    </rPh>
    <rPh sb="37" eb="38">
      <t>オコナ</t>
    </rPh>
    <phoneticPr fontId="4"/>
  </si>
  <si>
    <t>庭のつくり方や植栽の樹種、配置などについて工夫が行われ、良好な景観形成に寄与している。</t>
    <rPh sb="21" eb="23">
      <t>クフウ</t>
    </rPh>
    <rPh sb="24" eb="25">
      <t>オコナ</t>
    </rPh>
    <rPh sb="28" eb="30">
      <t>リョウコウ</t>
    </rPh>
    <rPh sb="31" eb="33">
      <t>ケイカン</t>
    </rPh>
    <rPh sb="33" eb="35">
      <t>ケイセイ</t>
    </rPh>
    <rPh sb="36" eb="38">
      <t>キヨ</t>
    </rPh>
    <phoneticPr fontId="4"/>
  </si>
  <si>
    <t>接道部について、照明・ファニチュア・塀・垣など道や通りを演出する工夫が行われている。</t>
    <rPh sb="0" eb="1">
      <t>セツ</t>
    </rPh>
    <rPh sb="1" eb="2">
      <t>ドウ</t>
    </rPh>
    <rPh sb="2" eb="3">
      <t>ブ</t>
    </rPh>
    <rPh sb="32" eb="34">
      <t>クフウ</t>
    </rPh>
    <rPh sb="35" eb="36">
      <t>オコナ</t>
    </rPh>
    <phoneticPr fontId="4"/>
  </si>
  <si>
    <t>外構に設置する設備機器やゴミ収集設備などを、ルーバーや植栽などで目立たない工夫がされている。</t>
    <rPh sb="0" eb="1">
      <t>ガイ</t>
    </rPh>
    <rPh sb="1" eb="2">
      <t>コウ</t>
    </rPh>
    <rPh sb="3" eb="5">
      <t>セッチ</t>
    </rPh>
    <rPh sb="7" eb="9">
      <t>セツビ</t>
    </rPh>
    <phoneticPr fontId="4"/>
  </si>
  <si>
    <t>見通しの確保</t>
    <phoneticPr fontId="4"/>
  </si>
  <si>
    <t>防犯性の
向上</t>
    <rPh sb="0" eb="3">
      <t>ボウハンセイ</t>
    </rPh>
    <rPh sb="5" eb="7">
      <t>コウジョウ</t>
    </rPh>
    <phoneticPr fontId="4"/>
  </si>
  <si>
    <t>上記以外の地域インフラの負荷抑制に努めている。</t>
    <phoneticPr fontId="4"/>
  </si>
  <si>
    <t>事業者名</t>
    <phoneticPr fontId="4"/>
  </si>
  <si>
    <t>調整後排出係数</t>
    <phoneticPr fontId="4"/>
  </si>
  <si>
    <t>その他</t>
    <phoneticPr fontId="4"/>
  </si>
  <si>
    <t>(2) 上記以外の排出係数</t>
    <phoneticPr fontId="4"/>
  </si>
  <si>
    <t>その他/事業社名、根拠等</t>
    <phoneticPr fontId="4"/>
  </si>
  <si>
    <t>↑</t>
    <phoneticPr fontId="4"/>
  </si>
  <si>
    <t>「メイン」シートの「電力会社等」で「その他」を選択した場合は必ず入力する。</t>
    <phoneticPr fontId="4"/>
  </si>
  <si>
    <t>注）</t>
    <phoneticPr fontId="4"/>
  </si>
  <si>
    <t>評価する取り組み１～４のうち、何れか１つに取組んでいる</t>
    <rPh sb="15" eb="16">
      <t>イズ</t>
    </rPh>
    <phoneticPr fontId="4"/>
  </si>
  <si>
    <t>評価する取り組み１～４のうち、何れか２つ以上に取組んでいる</t>
    <rPh sb="20" eb="22">
      <t>イジョウ</t>
    </rPh>
    <phoneticPr fontId="4"/>
  </si>
  <si>
    <t>敷地周辺への風通しに配慮する</t>
    <phoneticPr fontId="4"/>
  </si>
  <si>
    <t>敷地内の避難ルート・消火活動空間の確保</t>
    <rPh sb="0" eb="2">
      <t>シキチ</t>
    </rPh>
    <rPh sb="2" eb="3">
      <t>ナイ</t>
    </rPh>
    <rPh sb="4" eb="6">
      <t>ヒナン</t>
    </rPh>
    <rPh sb="10" eb="12">
      <t>ショウカ</t>
    </rPh>
    <rPh sb="12" eb="14">
      <t>カツドウ</t>
    </rPh>
    <rPh sb="14" eb="16">
      <t>クウカン</t>
    </rPh>
    <rPh sb="17" eb="19">
      <t>カクホ</t>
    </rPh>
    <phoneticPr fontId="4"/>
  </si>
  <si>
    <t>地域の避難路の確保</t>
    <rPh sb="0" eb="2">
      <t>チイキ</t>
    </rPh>
    <rPh sb="3" eb="6">
      <t>ヒナンロ</t>
    </rPh>
    <rPh sb="7" eb="9">
      <t>カクホ</t>
    </rPh>
    <phoneticPr fontId="4"/>
  </si>
  <si>
    <t>自住戸や隣接住戸への侵入の足掛かりを作らない配慮</t>
    <rPh sb="0" eb="3">
      <t>ジジュウコ</t>
    </rPh>
    <rPh sb="4" eb="6">
      <t>リンセツ</t>
    </rPh>
    <rPh sb="6" eb="8">
      <t>ジュウコ</t>
    </rPh>
    <rPh sb="10" eb="12">
      <t>シンニュウ</t>
    </rPh>
    <rPh sb="13" eb="15">
      <t>アシガ</t>
    </rPh>
    <rPh sb="18" eb="19">
      <t>ツク</t>
    </rPh>
    <rPh sb="22" eb="24">
      <t>ハイリョ</t>
    </rPh>
    <phoneticPr fontId="4"/>
  </si>
  <si>
    <t>エアコン室外機や給湯設備など、屋外に設置される設備機器の騒音・振動源について、
・敷地境界における騒音値を40dB(A)以下としていること。
・機器と基礎を分離するための防振ゴムの挿入、共鳴等を防止するための配管支持固定を完全に行うなどの措置をとっていること。</t>
    <phoneticPr fontId="4"/>
  </si>
  <si>
    <t>事業者名</t>
  </si>
  <si>
    <t>N.A.</t>
    <phoneticPr fontId="4"/>
  </si>
  <si>
    <t>N.A.</t>
    <phoneticPr fontId="4"/>
  </si>
  <si>
    <r>
      <t xml:space="preserve">Q1 </t>
    </r>
    <r>
      <rPr>
        <b/>
        <sz val="11"/>
        <color indexed="9"/>
        <rFont val="ＭＳ Ｐゴシック"/>
        <family val="3"/>
        <charset val="128"/>
      </rPr>
      <t>室内環境を快適・健康・安心にする</t>
    </r>
    <phoneticPr fontId="4"/>
  </si>
  <si>
    <r>
      <t xml:space="preserve">Q2 </t>
    </r>
    <r>
      <rPr>
        <b/>
        <sz val="11"/>
        <color indexed="9"/>
        <rFont val="ＭＳ Ｐゴシック"/>
        <family val="3"/>
        <charset val="128"/>
      </rPr>
      <t>長く使い続ける</t>
    </r>
    <phoneticPr fontId="4"/>
  </si>
  <si>
    <r>
      <t xml:space="preserve">Q3 </t>
    </r>
    <r>
      <rPr>
        <b/>
        <sz val="11"/>
        <color indexed="9"/>
        <rFont val="ＭＳ Ｐゴシック"/>
        <family val="3"/>
        <charset val="128"/>
      </rPr>
      <t>まちなみ・生態系を豊かにする</t>
    </r>
    <phoneticPr fontId="4"/>
  </si>
  <si>
    <r>
      <t xml:space="preserve">LR1 </t>
    </r>
    <r>
      <rPr>
        <b/>
        <sz val="11"/>
        <color indexed="9"/>
        <rFont val="ＭＳ Ｐゴシック"/>
        <family val="3"/>
        <charset val="128"/>
      </rPr>
      <t>エネルギーと水を大切に使う</t>
    </r>
    <phoneticPr fontId="4"/>
  </si>
  <si>
    <r>
      <t xml:space="preserve">LR2 </t>
    </r>
    <r>
      <rPr>
        <b/>
        <sz val="11"/>
        <color indexed="9"/>
        <rFont val="ＭＳ Ｐゴシック"/>
        <family val="3"/>
        <charset val="128"/>
      </rPr>
      <t>資源を大切に使いゴミを減らす</t>
    </r>
    <phoneticPr fontId="4"/>
  </si>
  <si>
    <r>
      <t xml:space="preserve">LR3 </t>
    </r>
    <r>
      <rPr>
        <b/>
        <sz val="11"/>
        <color indexed="9"/>
        <rFont val="ＭＳ Ｐゴシック"/>
        <family val="3"/>
        <charset val="128"/>
      </rPr>
      <t>地球・地域・周辺環境に配慮する</t>
    </r>
    <rPh sb="4" eb="6">
      <t>チキュウ</t>
    </rPh>
    <rPh sb="10" eb="12">
      <t>シュウヘン</t>
    </rPh>
    <rPh sb="12" eb="14">
      <t>カンキョウ</t>
    </rPh>
    <phoneticPr fontId="4"/>
  </si>
  <si>
    <t>バージョン</t>
    <phoneticPr fontId="4"/>
  </si>
  <si>
    <t>仕様等の確定状況</t>
    <rPh sb="0" eb="2">
      <t>シヨウ</t>
    </rPh>
    <rPh sb="2" eb="3">
      <t>トウ</t>
    </rPh>
    <phoneticPr fontId="4"/>
  </si>
  <si>
    <t>延面積比率</t>
    <rPh sb="0" eb="1">
      <t>ノ</t>
    </rPh>
    <rPh sb="1" eb="3">
      <t>メンセキ</t>
    </rPh>
    <rPh sb="3" eb="5">
      <t>ヒリツ</t>
    </rPh>
    <phoneticPr fontId="4"/>
  </si>
  <si>
    <t>延べ面積　＜　４０㎡</t>
    <phoneticPr fontId="4"/>
  </si>
  <si>
    <t>＜入居者数　2人＞</t>
  </si>
  <si>
    <t>延べ面積　＜　３０㎡</t>
    <phoneticPr fontId="4"/>
  </si>
  <si>
    <t>７５㎡≦　延べ面積</t>
    <phoneticPr fontId="4"/>
  </si>
  <si>
    <t>＜入居者数　1人＞</t>
    <phoneticPr fontId="4"/>
  </si>
  <si>
    <t>延べ面積　＜　２５㎡</t>
    <phoneticPr fontId="4"/>
  </si>
  <si>
    <t>建物名称</t>
    <rPh sb="0" eb="2">
      <t>ﾀﾃﾓﾉ</t>
    </rPh>
    <rPh sb="2" eb="4">
      <t>ﾒｲｼｮｳ</t>
    </rPh>
    <phoneticPr fontId="18" type="noConversion"/>
  </si>
  <si>
    <r>
      <t>2-4</t>
    </r>
    <r>
      <rPr>
        <b/>
        <sz val="12"/>
        <color indexed="9"/>
        <rFont val="ＭＳ Ｐゴシック"/>
        <family val="3"/>
        <charset val="128"/>
      </rPr>
      <t>　中項目の評価（バーチャート）</t>
    </r>
    <phoneticPr fontId="4"/>
  </si>
  <si>
    <t>2.1.3</t>
  </si>
  <si>
    <t>2.1.4</t>
  </si>
  <si>
    <t>住居・宿泊</t>
    <rPh sb="0" eb="2">
      <t>ジュウキョ</t>
    </rPh>
    <rPh sb="3" eb="5">
      <t>シュクハク</t>
    </rPh>
    <phoneticPr fontId="4"/>
  </si>
  <si>
    <t>補正前計</t>
    <rPh sb="0" eb="2">
      <t>ホセイ</t>
    </rPh>
    <rPh sb="2" eb="3">
      <t>マエ</t>
    </rPh>
    <rPh sb="3" eb="4">
      <t>ケイ</t>
    </rPh>
    <phoneticPr fontId="4"/>
  </si>
  <si>
    <t>Q</t>
    <phoneticPr fontId="4"/>
  </si>
  <si>
    <t>■敷地面積</t>
    <rPh sb="1" eb="3">
      <t>ｼｷﾁ</t>
    </rPh>
    <rPh sb="3" eb="5">
      <t>ﾒﾝｾｷ</t>
    </rPh>
    <phoneticPr fontId="18" type="noConversion"/>
  </si>
  <si>
    <t>㎡</t>
    <phoneticPr fontId="4"/>
  </si>
  <si>
    <t>建設地</t>
    <rPh sb="0" eb="3">
      <t>ｹﾝｾﾂﾁ</t>
    </rPh>
    <phoneticPr fontId="18" type="noConversion"/>
  </si>
  <si>
    <t>躯体</t>
  </si>
  <si>
    <r>
      <t>Q-1</t>
    </r>
    <r>
      <rPr>
        <sz val="11"/>
        <rFont val="ＭＳ Ｐゴシック"/>
        <family val="3"/>
        <charset val="128"/>
      </rPr>
      <t>　室内環境</t>
    </r>
    <rPh sb="4" eb="6">
      <t>シツナイ</t>
    </rPh>
    <rPh sb="6" eb="8">
      <t>カンキョウ</t>
    </rPh>
    <phoneticPr fontId="4"/>
  </si>
  <si>
    <t>ホテル</t>
    <phoneticPr fontId="4"/>
  </si>
  <si>
    <t>2) 個別用途入力</t>
    <rPh sb="3" eb="5">
      <t>コベツ</t>
    </rPh>
    <rPh sb="5" eb="7">
      <t>ヨウト</t>
    </rPh>
    <rPh sb="7" eb="9">
      <t>ニュウリョク</t>
    </rPh>
    <phoneticPr fontId="4"/>
  </si>
  <si>
    <t>日本住宅性能表示基準「6-1ホルムアルデヒド対策（内装及び天井裏等）」における等級１を満たしている。</t>
    <phoneticPr fontId="4"/>
  </si>
  <si>
    <t>日本住宅性能表示基準「6-1ホルムアルデヒド対策（内装及び天井裏等）」における等級２を満たしている。</t>
    <phoneticPr fontId="4"/>
  </si>
  <si>
    <t>日本住宅性能表示基準「6-1ホルムアルデヒド対策（内装及び天井裏等）」における等級３を満たしている。</t>
    <phoneticPr fontId="4"/>
  </si>
  <si>
    <t>std</t>
    <phoneticPr fontId="4"/>
  </si>
  <si>
    <t>台所、便所、浴室で発生する汚染物質に対して、換気等の適切な処理計画がなされている。</t>
    <phoneticPr fontId="4"/>
  </si>
  <si>
    <t>レベル３</t>
    <phoneticPr fontId="4"/>
  </si>
  <si>
    <r>
      <t>Q</t>
    </r>
    <r>
      <rPr>
        <b/>
        <i/>
        <sz val="14"/>
        <color indexed="9"/>
        <rFont val="ＭＳ Ｐゴシック"/>
        <family val="3"/>
        <charset val="128"/>
      </rPr>
      <t>のスコア</t>
    </r>
    <r>
      <rPr>
        <b/>
        <i/>
        <sz val="14"/>
        <color indexed="9"/>
        <rFont val="Arial"/>
        <family val="2"/>
      </rPr>
      <t>=</t>
    </r>
    <phoneticPr fontId="4"/>
  </si>
  <si>
    <r>
      <t>LR</t>
    </r>
    <r>
      <rPr>
        <b/>
        <i/>
        <sz val="14"/>
        <color indexed="9"/>
        <rFont val="ＭＳ Ｐゴシック"/>
        <family val="3"/>
        <charset val="128"/>
      </rPr>
      <t>のスコア</t>
    </r>
    <r>
      <rPr>
        <b/>
        <i/>
        <sz val="14"/>
        <color indexed="9"/>
        <rFont val="Arial"/>
        <family val="2"/>
      </rPr>
      <t>=</t>
    </r>
    <phoneticPr fontId="4"/>
  </si>
  <si>
    <r>
      <t>Q</t>
    </r>
    <r>
      <rPr>
        <b/>
        <sz val="11"/>
        <color indexed="43"/>
        <rFont val="ＭＳ Ｐゴシック"/>
        <family val="3"/>
        <charset val="128"/>
      </rPr>
      <t>　環境品質</t>
    </r>
    <rPh sb="2" eb="4">
      <t>カンキョウ</t>
    </rPh>
    <rPh sb="4" eb="6">
      <t>ヒンシツ</t>
    </rPh>
    <phoneticPr fontId="4"/>
  </si>
  <si>
    <r>
      <t>LR</t>
    </r>
    <r>
      <rPr>
        <b/>
        <sz val="11"/>
        <color indexed="42"/>
        <rFont val="ＭＳ Ｐゴシック"/>
        <family val="3"/>
        <charset val="128"/>
      </rPr>
      <t>　環境負荷低減性</t>
    </r>
    <phoneticPr fontId="4"/>
  </si>
  <si>
    <r>
      <t>Q</t>
    </r>
    <r>
      <rPr>
        <b/>
        <sz val="11"/>
        <rFont val="Arial"/>
        <family val="2"/>
      </rPr>
      <t xml:space="preserve">1 </t>
    </r>
    <r>
      <rPr>
        <b/>
        <sz val="11"/>
        <rFont val="ＭＳ Ｐゴシック"/>
        <family val="3"/>
        <charset val="128"/>
      </rPr>
      <t>室内環境を快適・健康・安心にする</t>
    </r>
    <phoneticPr fontId="4"/>
  </si>
  <si>
    <r>
      <t xml:space="preserve">  Q</t>
    </r>
    <r>
      <rPr>
        <b/>
        <sz val="11"/>
        <rFont val="Arial"/>
        <family val="2"/>
      </rPr>
      <t xml:space="preserve">2 </t>
    </r>
    <r>
      <rPr>
        <b/>
        <sz val="11"/>
        <rFont val="ＭＳ Ｐゴシック"/>
        <family val="3"/>
        <charset val="128"/>
      </rPr>
      <t>長く使い続ける</t>
    </r>
    <rPh sb="5" eb="6">
      <t>ナガ</t>
    </rPh>
    <rPh sb="7" eb="8">
      <t>ツカ</t>
    </rPh>
    <rPh sb="9" eb="10">
      <t>ツヅ</t>
    </rPh>
    <phoneticPr fontId="4"/>
  </si>
  <si>
    <r>
      <t>Q</t>
    </r>
    <r>
      <rPr>
        <b/>
        <sz val="11"/>
        <rFont val="Arial"/>
        <family val="2"/>
      </rPr>
      <t xml:space="preserve">3 </t>
    </r>
    <r>
      <rPr>
        <b/>
        <sz val="11"/>
        <rFont val="ＭＳ Ｐゴシック"/>
        <family val="3"/>
        <charset val="128"/>
      </rPr>
      <t>まちなみ・生態系を豊かにする</t>
    </r>
    <rPh sb="8" eb="11">
      <t>セイタイケイ</t>
    </rPh>
    <rPh sb="12" eb="13">
      <t>ユタ</t>
    </rPh>
    <phoneticPr fontId="4"/>
  </si>
  <si>
    <r>
      <t xml:space="preserve">   LR</t>
    </r>
    <r>
      <rPr>
        <b/>
        <sz val="11"/>
        <rFont val="Arial"/>
        <family val="2"/>
      </rPr>
      <t xml:space="preserve">2 </t>
    </r>
    <r>
      <rPr>
        <b/>
        <sz val="11"/>
        <rFont val="ＭＳ Ｐゴシック"/>
        <family val="3"/>
        <charset val="128"/>
      </rPr>
      <t>資源を大切に使いゴミを減らす</t>
    </r>
    <rPh sb="7" eb="9">
      <t>シゲン</t>
    </rPh>
    <rPh sb="10" eb="12">
      <t>タイセツ</t>
    </rPh>
    <rPh sb="13" eb="14">
      <t>ツカ</t>
    </rPh>
    <rPh sb="18" eb="19">
      <t>ヘ</t>
    </rPh>
    <phoneticPr fontId="4"/>
  </si>
  <si>
    <r>
      <t>LR</t>
    </r>
    <r>
      <rPr>
        <b/>
        <sz val="11"/>
        <rFont val="Arial"/>
        <family val="2"/>
      </rPr>
      <t xml:space="preserve">1 </t>
    </r>
    <r>
      <rPr>
        <b/>
        <sz val="11"/>
        <rFont val="ＭＳ Ｐゴシック"/>
        <family val="3"/>
        <charset val="128"/>
      </rPr>
      <t>エネルギーと水を大切に使う</t>
    </r>
    <rPh sb="10" eb="11">
      <t>ミズ</t>
    </rPh>
    <rPh sb="12" eb="14">
      <t>タイセツ</t>
    </rPh>
    <rPh sb="15" eb="16">
      <t>ツカ</t>
    </rPh>
    <phoneticPr fontId="4"/>
  </si>
  <si>
    <t>③ 評価の実施</t>
    <rPh sb="2" eb="4">
      <t>ヒョウカ</t>
    </rPh>
    <rPh sb="5" eb="7">
      <t>ジッシ</t>
    </rPh>
    <phoneticPr fontId="4"/>
  </si>
  <si>
    <t>2）各シートの表示</t>
    <rPh sb="2" eb="3">
      <t>カク</t>
    </rPh>
    <rPh sb="7" eb="9">
      <t>ヒョウジ</t>
    </rPh>
    <phoneticPr fontId="4"/>
  </si>
  <si>
    <t>地球・地域・周辺環境に配慮する</t>
    <rPh sb="0" eb="2">
      <t>チキュウ</t>
    </rPh>
    <rPh sb="3" eb="5">
      <t>チイキ</t>
    </rPh>
    <rPh sb="6" eb="8">
      <t>シュウヘン</t>
    </rPh>
    <rPh sb="11" eb="13">
      <t>ハイリョ</t>
    </rPh>
    <phoneticPr fontId="4"/>
  </si>
  <si>
    <t xml:space="preserve"> 地球・地域・周辺環境に配慮する</t>
    <rPh sb="1" eb="3">
      <t>チキュウ</t>
    </rPh>
    <rPh sb="7" eb="9">
      <t>シュウヘン</t>
    </rPh>
    <phoneticPr fontId="4"/>
  </si>
  <si>
    <t>地球・地域・
周辺環境に
配慮する</t>
    <rPh sb="0" eb="2">
      <t>チキュウ</t>
    </rPh>
    <rPh sb="3" eb="5">
      <t>チイキ</t>
    </rPh>
    <rPh sb="7" eb="9">
      <t>シュウヘン</t>
    </rPh>
    <rPh sb="9" eb="11">
      <t>カンキョウ</t>
    </rPh>
    <rPh sb="13" eb="15">
      <t>ハイリョ</t>
    </rPh>
    <phoneticPr fontId="4"/>
  </si>
  <si>
    <r>
      <t xml:space="preserve">LR3 </t>
    </r>
    <r>
      <rPr>
        <b/>
        <sz val="11"/>
        <rFont val="ＭＳ Ｐゴシック"/>
        <family val="3"/>
        <charset val="128"/>
      </rPr>
      <t>地球・地域・周辺環境に配慮する</t>
    </r>
    <rPh sb="4" eb="6">
      <t>チキュウ</t>
    </rPh>
    <rPh sb="7" eb="9">
      <t>チイキ</t>
    </rPh>
    <rPh sb="10" eb="12">
      <t>シュウヘン</t>
    </rPh>
    <rPh sb="12" eb="14">
      <t>カンキョウ</t>
    </rPh>
    <rPh sb="15" eb="17">
      <t>ハイリョ</t>
    </rPh>
    <phoneticPr fontId="4"/>
  </si>
  <si>
    <t>LR-3 地球・地域・周辺環境に配慮する</t>
    <rPh sb="5" eb="7">
      <t>チキュウ</t>
    </rPh>
    <rPh sb="8" eb="10">
      <t>チイキ</t>
    </rPh>
    <rPh sb="11" eb="13">
      <t>シュウヘン</t>
    </rPh>
    <rPh sb="13" eb="15">
      <t>カンキョウ</t>
    </rPh>
    <rPh sb="16" eb="18">
      <t>ハイリョ</t>
    </rPh>
    <phoneticPr fontId="4"/>
  </si>
  <si>
    <t>省ｴﾈﾙｷﾞｰ地域区分</t>
    <rPh sb="0" eb="1">
      <t>ショウ</t>
    </rPh>
    <rPh sb="7" eb="9">
      <t>チイキ</t>
    </rPh>
    <rPh sb="9" eb="11">
      <t>クブン</t>
    </rPh>
    <phoneticPr fontId="4"/>
  </si>
  <si>
    <t>㎡</t>
    <phoneticPr fontId="18" type="noConversion"/>
  </si>
  <si>
    <r>
      <t>1-1</t>
    </r>
    <r>
      <rPr>
        <b/>
        <sz val="12"/>
        <color indexed="9"/>
        <rFont val="ＭＳ Ｐゴシック"/>
        <family val="3"/>
        <charset val="128"/>
      </rPr>
      <t xml:space="preserve"> 建物概要</t>
    </r>
    <rPh sb="4" eb="6">
      <t>タテモノ</t>
    </rPh>
    <rPh sb="6" eb="8">
      <t>ガイヨウ</t>
    </rPh>
    <phoneticPr fontId="3"/>
  </si>
  <si>
    <t>ﾚﾍﾞﾙ３</t>
  </si>
  <si>
    <t>ﾚﾍﾞﾙ４</t>
  </si>
  <si>
    <t>ﾚﾍﾞﾙ５</t>
  </si>
  <si>
    <t>参照値</t>
    <rPh sb="0" eb="2">
      <t>サンショウ</t>
    </rPh>
    <rPh sb="2" eb="3">
      <t>チ</t>
    </rPh>
    <phoneticPr fontId="4"/>
  </si>
  <si>
    <t>採点結果</t>
    <rPh sb="0" eb="2">
      <t>サイテン</t>
    </rPh>
    <rPh sb="2" eb="4">
      <t>ケッカ</t>
    </rPh>
    <phoneticPr fontId="4"/>
  </si>
  <si>
    <t>構造・構法</t>
    <rPh sb="0" eb="2">
      <t>コウゾウ</t>
    </rPh>
    <rPh sb="3" eb="4">
      <t>カマエ</t>
    </rPh>
    <rPh sb="4" eb="5">
      <t>ホウ</t>
    </rPh>
    <phoneticPr fontId="4"/>
  </si>
  <si>
    <t>■建物の仕様</t>
    <rPh sb="1" eb="3">
      <t>タテモノ</t>
    </rPh>
    <rPh sb="4" eb="6">
      <t>シヨウ</t>
    </rPh>
    <phoneticPr fontId="4"/>
  </si>
  <si>
    <t>■外構の仕様</t>
    <rPh sb="1" eb="2">
      <t>ガイ</t>
    </rPh>
    <rPh sb="2" eb="3">
      <t>カマエ</t>
    </rPh>
    <rPh sb="4" eb="6">
      <t>シヨウ</t>
    </rPh>
    <phoneticPr fontId="4"/>
  </si>
  <si>
    <t>敷地面積</t>
  </si>
  <si>
    <t>階数</t>
    <rPh sb="0" eb="2">
      <t>カイスウ</t>
    </rPh>
    <phoneticPr fontId="4"/>
  </si>
  <si>
    <t>建物の仕様</t>
    <rPh sb="0" eb="2">
      <t>タテモノ</t>
    </rPh>
    <rPh sb="3" eb="5">
      <t>シヨウ</t>
    </rPh>
    <phoneticPr fontId="4"/>
  </si>
  <si>
    <t>持ち込み家電等</t>
    <rPh sb="0" eb="1">
      <t>モ</t>
    </rPh>
    <rPh sb="2" eb="3">
      <t>コ</t>
    </rPh>
    <rPh sb="4" eb="6">
      <t>カデン</t>
    </rPh>
    <rPh sb="6" eb="7">
      <t>ナド</t>
    </rPh>
    <phoneticPr fontId="4"/>
  </si>
  <si>
    <t>外構の仕様</t>
    <rPh sb="0" eb="1">
      <t>ソト</t>
    </rPh>
    <rPh sb="1" eb="2">
      <t>カマエ</t>
    </rPh>
    <rPh sb="3" eb="5">
      <t>シヨウ</t>
    </rPh>
    <phoneticPr fontId="4"/>
  </si>
  <si>
    <r>
      <t>3</t>
    </r>
    <r>
      <rPr>
        <b/>
        <sz val="12"/>
        <color indexed="9"/>
        <rFont val="ＭＳ Ｐゴシック"/>
        <family val="3"/>
        <charset val="128"/>
      </rPr>
      <t>　設計上の配慮事項</t>
    </r>
    <rPh sb="2" eb="4">
      <t>セッケイ</t>
    </rPh>
    <rPh sb="4" eb="5">
      <t>ジョウ</t>
    </rPh>
    <rPh sb="6" eb="8">
      <t>ハイリョ</t>
    </rPh>
    <rPh sb="8" eb="10">
      <t>ジコウ</t>
    </rPh>
    <phoneticPr fontId="4"/>
  </si>
  <si>
    <t>（加点条件を満たせば選択可能）</t>
    <rPh sb="3" eb="5">
      <t>ジョウケン</t>
    </rPh>
    <rPh sb="6" eb="7">
      <t>ミ</t>
    </rPh>
    <rPh sb="10" eb="12">
      <t>センタク</t>
    </rPh>
    <phoneticPr fontId="4"/>
  </si>
  <si>
    <t>（加点条件を満たせば選択可能）</t>
    <rPh sb="6" eb="7">
      <t>ミ</t>
    </rPh>
    <phoneticPr fontId="4"/>
  </si>
  <si>
    <t>屋根材、陸屋根</t>
    <rPh sb="0" eb="2">
      <t>ヤネ</t>
    </rPh>
    <rPh sb="2" eb="3">
      <t>ザイ</t>
    </rPh>
    <rPh sb="4" eb="7">
      <t>リクヤネ</t>
    </rPh>
    <phoneticPr fontId="4"/>
  </si>
  <si>
    <t>取組み</t>
    <rPh sb="0" eb="2">
      <t>トリク</t>
    </rPh>
    <phoneticPr fontId="4"/>
  </si>
  <si>
    <t>全て</t>
    <rPh sb="0" eb="1">
      <t>スベ</t>
    </rPh>
    <phoneticPr fontId="4"/>
  </si>
  <si>
    <t>&lt;移動経路の確保&gt;</t>
    <phoneticPr fontId="4"/>
  </si>
  <si>
    <t>&lt;餌場の確保&gt;</t>
    <phoneticPr fontId="4"/>
  </si>
  <si>
    <t>&lt;住み処・隠れ場の確保&gt;</t>
    <phoneticPr fontId="4"/>
  </si>
  <si>
    <t>&lt;多孔質な空間の確保&gt;</t>
    <phoneticPr fontId="4"/>
  </si>
  <si>
    <t>&lt;水場の確保&gt;</t>
    <phoneticPr fontId="4"/>
  </si>
  <si>
    <t>野鳥等が地域の中を移動することができるよう緑を連続させることに取組んでいる。</t>
    <rPh sb="0" eb="2">
      <t>ヤチョウ</t>
    </rPh>
    <rPh sb="2" eb="3">
      <t>ナド</t>
    </rPh>
    <rPh sb="4" eb="6">
      <t>チイキ</t>
    </rPh>
    <rPh sb="7" eb="8">
      <t>ナカ</t>
    </rPh>
    <rPh sb="9" eb="11">
      <t>イドウ</t>
    </rPh>
    <rPh sb="21" eb="22">
      <t>ミドリ</t>
    </rPh>
    <rPh sb="23" eb="25">
      <t>レンゾク</t>
    </rPh>
    <rPh sb="31" eb="33">
      <t>トリク</t>
    </rPh>
    <phoneticPr fontId="4"/>
  </si>
  <si>
    <t>評価する取組みの１～５のうち、何れにも取組んでいない。</t>
    <rPh sb="19" eb="21">
      <t>トリク</t>
    </rPh>
    <phoneticPr fontId="4"/>
  </si>
  <si>
    <t>評価する取組みの１～５のうち、何れか１つに取組んでいる。</t>
    <rPh sb="21" eb="23">
      <t>トリク</t>
    </rPh>
    <phoneticPr fontId="4"/>
  </si>
  <si>
    <t>評価する取組みの１～５のうち、何れか２つ以上に取組んでいる。</t>
    <rPh sb="20" eb="22">
      <t>イジョウ</t>
    </rPh>
    <rPh sb="23" eb="25">
      <t>トリク</t>
    </rPh>
    <phoneticPr fontId="4"/>
  </si>
  <si>
    <t>合計＝</t>
    <phoneticPr fontId="4"/>
  </si>
  <si>
    <t>評価する取組み１～２のうち、何れにも該当しない。</t>
    <rPh sb="14" eb="15">
      <t>イズ</t>
    </rPh>
    <phoneticPr fontId="4"/>
  </si>
  <si>
    <t>評価する取組み１～２のうち、１つに該当する。</t>
    <rPh sb="17" eb="19">
      <t>ガイトウ</t>
    </rPh>
    <phoneticPr fontId="4"/>
  </si>
  <si>
    <t>評価する取組み１～２のうち、２つに該当する。</t>
    <phoneticPr fontId="4"/>
  </si>
  <si>
    <t>評価する取組み１～３のうち、何れにも該当しない。</t>
    <rPh sb="14" eb="15">
      <t>イズ</t>
    </rPh>
    <rPh sb="18" eb="20">
      <t>ガイトウ</t>
    </rPh>
    <phoneticPr fontId="4"/>
  </si>
  <si>
    <t>評価する取組み１～３のうち、１つに該当する。</t>
    <rPh sb="17" eb="19">
      <t>ガイトウ</t>
    </rPh>
    <phoneticPr fontId="4"/>
  </si>
  <si>
    <t>評価する取組み１～３のうち、２つ以上に該当する。</t>
    <rPh sb="16" eb="18">
      <t>イジョウ</t>
    </rPh>
    <rPh sb="19" eb="21">
      <t>ガイトウ</t>
    </rPh>
    <phoneticPr fontId="4"/>
  </si>
  <si>
    <t>合計＝</t>
    <phoneticPr fontId="4"/>
  </si>
  <si>
    <t>①合計＝</t>
    <phoneticPr fontId="4"/>
  </si>
  <si>
    <t>下記に示す取組み１～４のうち、何れも採用していない。</t>
    <rPh sb="15" eb="16">
      <t>イズ</t>
    </rPh>
    <phoneticPr fontId="4"/>
  </si>
  <si>
    <t>下記に示す取組み１～４のうち、何れかを採用している。</t>
    <rPh sb="19" eb="21">
      <t>サイヨウ</t>
    </rPh>
    <phoneticPr fontId="4"/>
  </si>
  <si>
    <t>地球温暖化への配慮</t>
    <rPh sb="0" eb="2">
      <t>チキュウ</t>
    </rPh>
    <rPh sb="2" eb="5">
      <t>オンダンカ</t>
    </rPh>
    <rPh sb="7" eb="9">
      <t>ハイリョ</t>
    </rPh>
    <phoneticPr fontId="4"/>
  </si>
  <si>
    <t>レベル１
～
レベル５</t>
    <phoneticPr fontId="4"/>
  </si>
  <si>
    <t>■温暖化影響チャートの計算</t>
    <rPh sb="1" eb="4">
      <t>オンダンカ</t>
    </rPh>
    <rPh sb="4" eb="6">
      <t>エイキョウ</t>
    </rPh>
    <rPh sb="11" eb="13">
      <t>ケイサン</t>
    </rPh>
    <phoneticPr fontId="4"/>
  </si>
  <si>
    <t>火災に耐える構造</t>
    <phoneticPr fontId="4"/>
  </si>
  <si>
    <t>維持管理の計画・体制</t>
    <rPh sb="5" eb="7">
      <t>ケイカク</t>
    </rPh>
    <phoneticPr fontId="4"/>
  </si>
  <si>
    <r>
      <t xml:space="preserve">2-3 </t>
    </r>
    <r>
      <rPr>
        <b/>
        <sz val="12"/>
        <color indexed="9"/>
        <rFont val="ＭＳ Ｐゴシック"/>
        <family val="3"/>
        <charset val="128"/>
      </rPr>
      <t>大項目の評価</t>
    </r>
    <r>
      <rPr>
        <b/>
        <sz val="10"/>
        <color indexed="9"/>
        <rFont val="ＭＳ Ｐゴシック"/>
        <family val="3"/>
        <charset val="128"/>
      </rPr>
      <t>（レーダーチャート）</t>
    </r>
    <phoneticPr fontId="4"/>
  </si>
  <si>
    <t>■電力会社等</t>
    <rPh sb="1" eb="3">
      <t>デンリョク</t>
    </rPh>
    <rPh sb="3" eb="5">
      <t>カイシャ</t>
    </rPh>
    <rPh sb="5" eb="6">
      <t>ナド</t>
    </rPh>
    <phoneticPr fontId="4"/>
  </si>
  <si>
    <t>電力会社選択肢</t>
    <rPh sb="0" eb="2">
      <t>デンリョク</t>
    </rPh>
    <rPh sb="2" eb="4">
      <t>カイシャ</t>
    </rPh>
    <rPh sb="4" eb="7">
      <t>センタクシ</t>
    </rPh>
    <phoneticPr fontId="4"/>
  </si>
  <si>
    <t>戸建標準計算</t>
    <rPh sb="0" eb="2">
      <t>コダテ</t>
    </rPh>
    <rPh sb="2" eb="4">
      <t>ヒョウジュン</t>
    </rPh>
    <rPh sb="4" eb="6">
      <t>ケイサン</t>
    </rPh>
    <phoneticPr fontId="4"/>
  </si>
  <si>
    <t>戸建独自計算</t>
    <rPh sb="0" eb="2">
      <t>コダテ</t>
    </rPh>
    <rPh sb="2" eb="4">
      <t>ドクジ</t>
    </rPh>
    <rPh sb="4" eb="6">
      <t>ケイサン</t>
    </rPh>
    <phoneticPr fontId="4"/>
  </si>
  <si>
    <t>建設段階</t>
    <phoneticPr fontId="4"/>
  </si>
  <si>
    <t>入力欄</t>
    <rPh sb="0" eb="2">
      <t>ニュウリョク</t>
    </rPh>
    <rPh sb="2" eb="3">
      <t>ラン</t>
    </rPh>
    <phoneticPr fontId="4"/>
  </si>
  <si>
    <t>参考値</t>
    <rPh sb="0" eb="2">
      <t>サンコウ</t>
    </rPh>
    <rPh sb="2" eb="3">
      <t>チ</t>
    </rPh>
    <phoneticPr fontId="4"/>
  </si>
  <si>
    <t>→「CO2独自計算」シートを入力</t>
    <rPh sb="5" eb="7">
      <t>ドクジ</t>
    </rPh>
    <rPh sb="7" eb="9">
      <t>ケイサン</t>
    </rPh>
    <phoneticPr fontId="4"/>
  </si>
  <si>
    <t>計算条件など</t>
    <rPh sb="0" eb="2">
      <t>ケイサン</t>
    </rPh>
    <rPh sb="2" eb="4">
      <t>ジョウケン</t>
    </rPh>
    <phoneticPr fontId="4"/>
  </si>
  <si>
    <t>実排出量-調整後排出量</t>
    <rPh sb="0" eb="1">
      <t>ジツ</t>
    </rPh>
    <rPh sb="1" eb="3">
      <t>ハイシュツ</t>
    </rPh>
    <rPh sb="3" eb="4">
      <t>リョウ</t>
    </rPh>
    <rPh sb="5" eb="8">
      <t>チョウセイゴ</t>
    </rPh>
    <rPh sb="8" eb="10">
      <t>ハイシュツ</t>
    </rPh>
    <rPh sb="10" eb="11">
      <t>リョウ</t>
    </rPh>
    <phoneticPr fontId="4"/>
  </si>
  <si>
    <r>
      <t>2-2</t>
    </r>
    <r>
      <rPr>
        <b/>
        <sz val="12"/>
        <color indexed="9"/>
        <rFont val="ＭＳ Ｐゴシック"/>
        <family val="3"/>
        <charset val="128"/>
      </rPr>
      <t>　ライフサイクル</t>
    </r>
    <r>
      <rPr>
        <b/>
        <sz val="12"/>
        <color indexed="9"/>
        <rFont val="Arial"/>
        <family val="2"/>
      </rPr>
      <t>CO</t>
    </r>
    <r>
      <rPr>
        <b/>
        <vertAlign val="subscript"/>
        <sz val="12"/>
        <color indexed="9"/>
        <rFont val="Arial"/>
        <family val="2"/>
      </rPr>
      <t>2</t>
    </r>
    <r>
      <rPr>
        <b/>
        <sz val="10"/>
        <color indexed="9"/>
        <rFont val="ＭＳ Ｐゴシック"/>
        <family val="3"/>
        <charset val="128"/>
      </rPr>
      <t>（温暖化影響チャート）</t>
    </r>
    <rPh sb="15" eb="18">
      <t>オンダンカ</t>
    </rPh>
    <rPh sb="18" eb="20">
      <t>エイキョウ</t>
    </rPh>
    <phoneticPr fontId="4"/>
  </si>
  <si>
    <t>＜参考＞</t>
    <rPh sb="1" eb="3">
      <t>サンコウ</t>
    </rPh>
    <phoneticPr fontId="4"/>
  </si>
  <si>
    <t>欄に入力した値が、温暖化影響チャートに反映される。</t>
    <rPh sb="0" eb="1">
      <t>ラン</t>
    </rPh>
    <rPh sb="2" eb="4">
      <t>ニュウリョク</t>
    </rPh>
    <rPh sb="6" eb="7">
      <t>アタイ</t>
    </rPh>
    <rPh sb="9" eb="12">
      <t>オンダンカ</t>
    </rPh>
    <rPh sb="12" eb="14">
      <t>エイキョウ</t>
    </rPh>
    <rPh sb="19" eb="21">
      <t>ハンエイ</t>
    </rPh>
    <phoneticPr fontId="4"/>
  </si>
  <si>
    <t>(a-1)　グリーン電力証書によるカーボンオフセット</t>
    <phoneticPr fontId="4"/>
  </si>
  <si>
    <t>実排出係数を用いた「③上記+②以外のオンサイト手法」</t>
    <rPh sb="0" eb="1">
      <t>ジツ</t>
    </rPh>
    <rPh sb="1" eb="3">
      <t>ハイシュツ</t>
    </rPh>
    <rPh sb="3" eb="5">
      <t>ケイスウ</t>
    </rPh>
    <rPh sb="6" eb="7">
      <t>モチ</t>
    </rPh>
    <phoneticPr fontId="4"/>
  </si>
  <si>
    <t>調整後排出係数を用いた「③上記+②以外のオンサイト手法」</t>
    <rPh sb="0" eb="3">
      <t>チョウセイゴ</t>
    </rPh>
    <rPh sb="3" eb="5">
      <t>ハイシュツ</t>
    </rPh>
    <rPh sb="5" eb="7">
      <t>ケイスウ</t>
    </rPh>
    <rPh sb="8" eb="9">
      <t>モチ</t>
    </rPh>
    <phoneticPr fontId="4"/>
  </si>
  <si>
    <t>上表③の入力値（C)</t>
    <rPh sb="0" eb="2">
      <t>ジョウヒョウ</t>
    </rPh>
    <rPh sb="4" eb="6">
      <t>ニュウリョク</t>
    </rPh>
    <rPh sb="6" eb="7">
      <t>チ</t>
    </rPh>
    <phoneticPr fontId="4"/>
  </si>
  <si>
    <t>上表における「③上記+②以外のオンサイト手法」の入力値ベースでの計算例</t>
    <rPh sb="0" eb="2">
      <t>ジョウヒョウ</t>
    </rPh>
    <rPh sb="8" eb="10">
      <t>ジョウキ</t>
    </rPh>
    <rPh sb="12" eb="14">
      <t>イガイ</t>
    </rPh>
    <rPh sb="20" eb="22">
      <t>シュホウ</t>
    </rPh>
    <rPh sb="24" eb="26">
      <t>ニュウリョク</t>
    </rPh>
    <rPh sb="26" eb="27">
      <t>チ</t>
    </rPh>
    <rPh sb="32" eb="34">
      <t>ケイサン</t>
    </rPh>
    <rPh sb="34" eb="35">
      <t>レイ</t>
    </rPh>
    <phoneticPr fontId="4"/>
  </si>
  <si>
    <t>地域環境への配慮</t>
    <rPh sb="0" eb="2">
      <t>チイキ</t>
    </rPh>
    <rPh sb="2" eb="4">
      <t>カンキョウ</t>
    </rPh>
    <rPh sb="6" eb="8">
      <t>ハイリョ</t>
    </rPh>
    <phoneticPr fontId="4"/>
  </si>
  <si>
    <t>評価する取組み１～６のうち、何れも採用していない。</t>
    <phoneticPr fontId="4"/>
  </si>
  <si>
    <t>評価する取組み１～６のうち、何れかの１つに取組んでいる。</t>
    <rPh sb="14" eb="15">
      <t>イズ</t>
    </rPh>
    <phoneticPr fontId="4"/>
  </si>
  <si>
    <t>評価する取組み１～６のうち、何れか２つ以上に取組んでいる。</t>
    <rPh sb="14" eb="15">
      <t>イズ</t>
    </rPh>
    <phoneticPr fontId="4"/>
  </si>
  <si>
    <t>評価する取組み１～６のうち、何れか４つ以上に取組んでいる。</t>
    <rPh sb="14" eb="15">
      <t>イズ</t>
    </rPh>
    <phoneticPr fontId="4"/>
  </si>
  <si>
    <t>合計＝</t>
    <phoneticPr fontId="4"/>
  </si>
  <si>
    <t>構造の比率</t>
    <rPh sb="0" eb="2">
      <t>コウゾウ</t>
    </rPh>
    <rPh sb="3" eb="5">
      <t>ヒリツ</t>
    </rPh>
    <phoneticPr fontId="4"/>
  </si>
  <si>
    <t>レベル2</t>
    <phoneticPr fontId="4"/>
  </si>
  <si>
    <t>レベル4</t>
    <phoneticPr fontId="4"/>
  </si>
  <si>
    <t>屋根材、陸屋根</t>
    <phoneticPr fontId="4"/>
  </si>
  <si>
    <r>
      <t>このグラフは、</t>
    </r>
    <r>
      <rPr>
        <sz val="11"/>
        <color indexed="10"/>
        <rFont val="Arial"/>
        <family val="2"/>
      </rPr>
      <t>LR3</t>
    </r>
    <r>
      <rPr>
        <sz val="11"/>
        <color indexed="10"/>
        <rFont val="ＭＳ Ｐゴシック"/>
        <family val="3"/>
        <charset val="128"/>
      </rPr>
      <t>中の「地球温暖化への配慮」の内容を、一般的な住宅（参照値）と比べたライフサイクル</t>
    </r>
    <r>
      <rPr>
        <sz val="11"/>
        <color indexed="10"/>
        <rFont val="Arial"/>
        <family val="2"/>
      </rPr>
      <t xml:space="preserve">CO2 </t>
    </r>
    <r>
      <rPr>
        <sz val="11"/>
        <color indexed="10"/>
        <rFont val="ＭＳ Ｐゴシック"/>
        <family val="3"/>
        <charset val="128"/>
      </rPr>
      <t>排出量の目安で示したものです</t>
    </r>
    <phoneticPr fontId="4"/>
  </si>
  <si>
    <t>建物寿命</t>
    <rPh sb="0" eb="2">
      <t>タテモノ</t>
    </rPh>
    <rPh sb="2" eb="4">
      <t>ジュミョウ</t>
    </rPh>
    <phoneticPr fontId="4"/>
  </si>
  <si>
    <t>修繕・更新・解体</t>
    <rPh sb="3" eb="5">
      <t>コウシン</t>
    </rPh>
    <phoneticPr fontId="4"/>
  </si>
  <si>
    <t>修繕・更新・解体</t>
    <rPh sb="0" eb="2">
      <t>シュウゼン</t>
    </rPh>
    <rPh sb="3" eb="5">
      <t>コウシン</t>
    </rPh>
    <rPh sb="6" eb="8">
      <t>カイタイ</t>
    </rPh>
    <phoneticPr fontId="4"/>
  </si>
  <si>
    <t>躯体・基礎の寿命（年）</t>
    <rPh sb="0" eb="2">
      <t>クタイ</t>
    </rPh>
    <rPh sb="3" eb="5">
      <t>キソ</t>
    </rPh>
    <rPh sb="6" eb="8">
      <t>ジュミョウ</t>
    </rPh>
    <rPh sb="9" eb="10">
      <t>ネン</t>
    </rPh>
    <phoneticPr fontId="4"/>
  </si>
  <si>
    <t>更新周期(年）</t>
    <rPh sb="0" eb="2">
      <t>コウシン</t>
    </rPh>
    <rPh sb="2" eb="4">
      <t>シュウキ</t>
    </rPh>
    <rPh sb="5" eb="6">
      <t>ネン</t>
    </rPh>
    <phoneticPr fontId="4"/>
  </si>
  <si>
    <r>
      <t xml:space="preserve">1-2 </t>
    </r>
    <r>
      <rPr>
        <b/>
        <sz val="12"/>
        <color indexed="9"/>
        <rFont val="ＭＳ Ｐゴシック"/>
        <family val="3"/>
        <charset val="128"/>
      </rPr>
      <t>外　観</t>
    </r>
    <phoneticPr fontId="4"/>
  </si>
  <si>
    <t>世帯人数</t>
    <rPh sb="0" eb="2">
      <t>ｾﾀｲ</t>
    </rPh>
    <rPh sb="2" eb="4">
      <t>にんずう</t>
    </rPh>
    <phoneticPr fontId="18" type="noConversion"/>
  </si>
  <si>
    <t>用途地域</t>
    <rPh sb="0" eb="2">
      <t>ようと</t>
    </rPh>
    <rPh sb="2" eb="4">
      <t>ちいき</t>
    </rPh>
    <phoneticPr fontId="18" type="noConversion"/>
  </si>
  <si>
    <t>■用途地区</t>
    <rPh sb="1" eb="3">
      <t>ﾖｳﾄ</t>
    </rPh>
    <rPh sb="3" eb="5">
      <t>ﾁｸ</t>
    </rPh>
    <phoneticPr fontId="18" type="noConversion"/>
  </si>
  <si>
    <t>■省エネルギー地域区分</t>
    <rPh sb="1" eb="2">
      <t>ショウ</t>
    </rPh>
    <rPh sb="7" eb="9">
      <t>チイキ</t>
    </rPh>
    <rPh sb="9" eb="11">
      <t>クブン</t>
    </rPh>
    <phoneticPr fontId="4"/>
  </si>
  <si>
    <t>■世帯人数</t>
    <rPh sb="1" eb="3">
      <t>セタイ</t>
    </rPh>
    <rPh sb="3" eb="5">
      <t>ニンズウ</t>
    </rPh>
    <phoneticPr fontId="4"/>
  </si>
  <si>
    <t>■持ち込み家電等</t>
    <rPh sb="1" eb="2">
      <t>モ</t>
    </rPh>
    <rPh sb="3" eb="4">
      <t>コ</t>
    </rPh>
    <rPh sb="5" eb="7">
      <t>イエデン</t>
    </rPh>
    <rPh sb="7" eb="8">
      <t>ナド</t>
    </rPh>
    <phoneticPr fontId="4"/>
  </si>
  <si>
    <t>●配慮</t>
    <rPh sb="1" eb="3">
      <t>ハイリョ</t>
    </rPh>
    <phoneticPr fontId="4"/>
  </si>
  <si>
    <t>■備考</t>
    <rPh sb="1" eb="3">
      <t>ビコウ</t>
    </rPh>
    <phoneticPr fontId="4"/>
  </si>
  <si>
    <t>仮</t>
    <rPh sb="0" eb="1">
      <t>カリ</t>
    </rPh>
    <phoneticPr fontId="4"/>
  </si>
  <si>
    <t>一部確定</t>
    <rPh sb="0" eb="2">
      <t>イチブ</t>
    </rPh>
    <rPh sb="2" eb="4">
      <t>カクテイ</t>
    </rPh>
    <phoneticPr fontId="4"/>
  </si>
  <si>
    <t>確定</t>
    <rPh sb="0" eb="2">
      <t>カクテイ</t>
    </rPh>
    <phoneticPr fontId="4"/>
  </si>
  <si>
    <t>木質系</t>
    <rPh sb="0" eb="2">
      <t>モクシツ</t>
    </rPh>
    <rPh sb="2" eb="3">
      <t>ケイ</t>
    </rPh>
    <phoneticPr fontId="4"/>
  </si>
  <si>
    <t>鉄骨系</t>
    <rPh sb="0" eb="2">
      <t>テッコツ</t>
    </rPh>
    <rPh sb="2" eb="3">
      <t>ケイ</t>
    </rPh>
    <phoneticPr fontId="4"/>
  </si>
  <si>
    <t>コンクリート系</t>
    <rPh sb="6" eb="7">
      <t>ケイ</t>
    </rPh>
    <phoneticPr fontId="4"/>
  </si>
  <si>
    <t>構造の比率（床面積）入力欄</t>
    <rPh sb="0" eb="2">
      <t>コウゾウ</t>
    </rPh>
    <rPh sb="3" eb="5">
      <t>ヒリツ</t>
    </rPh>
    <rPh sb="6" eb="9">
      <t>ユカメンセキ</t>
    </rPh>
    <rPh sb="10" eb="12">
      <t>ニュウリョク</t>
    </rPh>
    <rPh sb="12" eb="13">
      <t>ラン</t>
    </rPh>
    <phoneticPr fontId="4"/>
  </si>
  <si>
    <t>■構造・構法</t>
    <rPh sb="1" eb="3">
      <t>コウゾウ</t>
    </rPh>
    <rPh sb="4" eb="5">
      <t>カマエ</t>
    </rPh>
    <rPh sb="5" eb="6">
      <t>ホウ</t>
    </rPh>
    <phoneticPr fontId="4"/>
  </si>
  <si>
    <t>全電化住宅の場合、以下の想定を行って電気幹線容量を設計している。
電気幹線の設計容量VA　≧　（60VA／㎡　×　延べ面積㎡　＋　Ｘ）　×　0.7　＋　夜間蓄熱式機器容量VA</t>
    <phoneticPr fontId="4"/>
  </si>
  <si>
    <t>矢印</t>
    <rPh sb="0" eb="2">
      <t>ヤジルシ</t>
    </rPh>
    <phoneticPr fontId="4"/>
  </si>
  <si>
    <t>オンサイト（マイナス）</t>
    <phoneticPr fontId="4"/>
  </si>
  <si>
    <t>オフサイト（マイナス）</t>
    <phoneticPr fontId="4"/>
  </si>
  <si>
    <t>矢印（マイナス）</t>
    <rPh sb="0" eb="2">
      <t>ヤジルシ</t>
    </rPh>
    <phoneticPr fontId="4"/>
  </si>
  <si>
    <t>周辺のまちなみや景観に対して配慮しているが、レベル４は満たさない。</t>
    <phoneticPr fontId="4"/>
  </si>
  <si>
    <t>構造躯体コンクリートに再生骨材またはコンクリート用スラグ骨材を用いている。（捨てコン、腰壁への使用は評価しない。）</t>
    <rPh sb="11" eb="13">
      <t>サイセイ</t>
    </rPh>
    <rPh sb="13" eb="15">
      <t>コツザイ</t>
    </rPh>
    <phoneticPr fontId="4"/>
  </si>
  <si>
    <t>特に配慮なし。</t>
    <rPh sb="0" eb="1">
      <t>トク</t>
    </rPh>
    <rPh sb="2" eb="4">
      <t>ハイリョ</t>
    </rPh>
    <phoneticPr fontId="4"/>
  </si>
  <si>
    <t>レベル３を満たした上で、各居室で必要な換気量ができる計画がなされている。</t>
    <phoneticPr fontId="4"/>
  </si>
  <si>
    <t>特に対策なし。</t>
    <phoneticPr fontId="4"/>
  </si>
  <si>
    <t>侵入の可能な規模の開口部のうち、住戸の出入口、および地面から開口部の下端までの高さが2m以下の開口部で、侵入防止対策上何らかの措置が採られている。</t>
    <phoneticPr fontId="4"/>
  </si>
  <si>
    <t>侵入の可能な規模の開口部のうち、住戸の出入口、および地面から開口部の下端までの高さが2m以下の開口部で、侵入防止対策上有効な措置が採られている。</t>
    <phoneticPr fontId="4"/>
  </si>
  <si>
    <t>レベル４に加え、侵入の可能な規模の開口部のうち、バルコニー等から開口部の下端までの高さが2m以下であって、かつ、バルコニー等から当該開口部までの水平距離が0.9m以下である開口部で、侵入防止対策上有効な措置が採られている。</t>
    <phoneticPr fontId="4"/>
  </si>
  <si>
    <t>昼光の利用</t>
    <rPh sb="0" eb="1">
      <t>ヒル</t>
    </rPh>
    <rPh sb="1" eb="2">
      <t>ヒカリ</t>
    </rPh>
    <rPh sb="3" eb="5">
      <t>リヨウ</t>
    </rPh>
    <phoneticPr fontId="4"/>
  </si>
  <si>
    <t>単純開口率15%未満。</t>
    <phoneticPr fontId="4"/>
  </si>
  <si>
    <t>単純開口率15%以上20%未満。</t>
    <phoneticPr fontId="4"/>
  </si>
  <si>
    <t>単純開口率20%以上。</t>
    <phoneticPr fontId="4"/>
  </si>
  <si>
    <t>weight set)</t>
  </si>
  <si>
    <t>構造躯体</t>
    <rPh sb="0" eb="2">
      <t>コウゾウ</t>
    </rPh>
    <rPh sb="2" eb="4">
      <t>クタイ</t>
    </rPh>
    <phoneticPr fontId="4"/>
  </si>
  <si>
    <t>レベル3を満たさない。</t>
    <phoneticPr fontId="4"/>
  </si>
  <si>
    <t>構造躯体の過半に「持続可能な森林から産出された木材」が使用されている。</t>
    <phoneticPr fontId="4"/>
  </si>
  <si>
    <t>構造躯体に電炉鋼が使用されていない、または確認することができない。</t>
    <phoneticPr fontId="4"/>
  </si>
  <si>
    <t>構造躯体の一部に電炉鋼が使用されている。</t>
    <phoneticPr fontId="4"/>
  </si>
  <si>
    <t>構造躯体の過半に電炉鋼が使用されている。</t>
    <phoneticPr fontId="4"/>
  </si>
  <si>
    <t>外装材</t>
    <phoneticPr fontId="4"/>
  </si>
  <si>
    <t>評価点</t>
    <rPh sb="0" eb="3">
      <t>ヒョウカテン</t>
    </rPh>
    <phoneticPr fontId="4"/>
  </si>
  <si>
    <t>解説シートの採点結果</t>
    <rPh sb="0" eb="2">
      <t>カイセツ</t>
    </rPh>
    <rPh sb="6" eb="8">
      <t>サイテン</t>
    </rPh>
    <rPh sb="8" eb="10">
      <t>ケッカ</t>
    </rPh>
    <phoneticPr fontId="4"/>
  </si>
  <si>
    <t>LR-2 資源を大切に使いゴミを減らす</t>
    <rPh sb="5" eb="7">
      <t>シゲン</t>
    </rPh>
    <rPh sb="8" eb="10">
      <t>タイセツ</t>
    </rPh>
    <rPh sb="11" eb="12">
      <t>ツカ</t>
    </rPh>
    <rPh sb="16" eb="17">
      <t>ヘ</t>
    </rPh>
    <phoneticPr fontId="4"/>
  </si>
  <si>
    <t>資源を大切に使いゴミを減らす</t>
    <phoneticPr fontId="4"/>
  </si>
  <si>
    <t>省資源、廃棄物抑制に役立つ材料の採用</t>
    <phoneticPr fontId="4"/>
  </si>
  <si>
    <t>重み係数(既定）＝</t>
    <rPh sb="0" eb="1">
      <t>オモ</t>
    </rPh>
    <rPh sb="2" eb="4">
      <t>ケイスウ</t>
    </rPh>
    <rPh sb="5" eb="7">
      <t>キテイ</t>
    </rPh>
    <phoneticPr fontId="4"/>
  </si>
  <si>
    <t>延面積</t>
    <rPh sb="0" eb="1">
      <t>ノ</t>
    </rPh>
    <rPh sb="1" eb="3">
      <t>メンセキ</t>
    </rPh>
    <phoneticPr fontId="4"/>
  </si>
  <si>
    <t>まちなみ・景観への配慮</t>
  </si>
  <si>
    <t>採点</t>
    <rPh sb="0" eb="2">
      <t>サイテン</t>
    </rPh>
    <phoneticPr fontId="4"/>
  </si>
  <si>
    <t>機能性</t>
  </si>
  <si>
    <t>住居・宿泊部分</t>
    <rPh sb="0" eb="2">
      <t>ジュウキョ</t>
    </rPh>
    <rPh sb="3" eb="5">
      <t>シュクハク</t>
    </rPh>
    <rPh sb="5" eb="7">
      <t>ブブン</t>
    </rPh>
    <phoneticPr fontId="4"/>
  </si>
  <si>
    <t>L</t>
    <phoneticPr fontId="4"/>
  </si>
  <si>
    <t>BEE</t>
    <phoneticPr fontId="4"/>
  </si>
  <si>
    <r>
      <t>BEE</t>
    </r>
    <r>
      <rPr>
        <sz val="11"/>
        <rFont val="ＭＳ Ｐゴシック"/>
        <family val="3"/>
        <charset val="128"/>
      </rPr>
      <t>の分母側</t>
    </r>
    <r>
      <rPr>
        <sz val="11"/>
        <rFont val="Arial"/>
        <family val="2"/>
      </rPr>
      <t>(L)</t>
    </r>
    <rPh sb="4" eb="6">
      <t>ブンボ</t>
    </rPh>
    <rPh sb="6" eb="7">
      <t>ガワ</t>
    </rPh>
    <phoneticPr fontId="4"/>
  </si>
  <si>
    <t>屋根材、陸屋根</t>
    <phoneticPr fontId="4"/>
  </si>
  <si>
    <t>生物環境の創出</t>
    <phoneticPr fontId="4"/>
  </si>
  <si>
    <r>
      <t>BEE</t>
    </r>
    <r>
      <rPr>
        <sz val="11"/>
        <rFont val="ＭＳ Ｐゴシック"/>
        <family val="3"/>
        <charset val="128"/>
      </rPr>
      <t>の分子側</t>
    </r>
    <r>
      <rPr>
        <sz val="11"/>
        <rFont val="Arial"/>
        <family val="2"/>
      </rPr>
      <t>(Q)</t>
    </r>
    <rPh sb="4" eb="6">
      <t>ブンシ</t>
    </rPh>
    <rPh sb="6" eb="7">
      <t>ガワ</t>
    </rPh>
    <phoneticPr fontId="4"/>
  </si>
  <si>
    <t>全体</t>
  </si>
  <si>
    <t>設計上の配慮事項</t>
    <rPh sb="0" eb="2">
      <t>セッケイ</t>
    </rPh>
    <rPh sb="2" eb="3">
      <t>ジョウ</t>
    </rPh>
    <rPh sb="4" eb="6">
      <t>ハイリョ</t>
    </rPh>
    <rPh sb="6" eb="8">
      <t>ジコウ</t>
    </rPh>
    <phoneticPr fontId="4"/>
  </si>
  <si>
    <t>■建物名称</t>
    <rPh sb="1" eb="3">
      <t>タテモノ</t>
    </rPh>
    <rPh sb="3" eb="5">
      <t>メイショウ</t>
    </rPh>
    <phoneticPr fontId="4"/>
  </si>
  <si>
    <t>●採点Ｑ１</t>
    <rPh sb="1" eb="3">
      <t>サイテン</t>
    </rPh>
    <phoneticPr fontId="4"/>
  </si>
  <si>
    <t>●採点Ｑ３</t>
    <rPh sb="1" eb="3">
      <t>サイテン</t>
    </rPh>
    <phoneticPr fontId="4"/>
  </si>
  <si>
    <t>●採点ＬＲ１</t>
    <rPh sb="1" eb="3">
      <t>サイテン</t>
    </rPh>
    <phoneticPr fontId="4"/>
  </si>
  <si>
    <t>●採点ＬＲ２</t>
    <rPh sb="1" eb="3">
      <t>サイテン</t>
    </rPh>
    <phoneticPr fontId="4"/>
  </si>
  <si>
    <t>入力シート</t>
    <rPh sb="0" eb="2">
      <t>ニュウリョク</t>
    </rPh>
    <phoneticPr fontId="4"/>
  </si>
  <si>
    <t>データベースシート</t>
    <phoneticPr fontId="4"/>
  </si>
  <si>
    <t>●重み</t>
    <rPh sb="1" eb="2">
      <t>オモ</t>
    </rPh>
    <phoneticPr fontId="4"/>
  </si>
  <si>
    <t>計算シート</t>
    <rPh sb="0" eb="2">
      <t>ケイサン</t>
    </rPh>
    <phoneticPr fontId="4"/>
  </si>
  <si>
    <r>
      <t>1.3.1</t>
    </r>
    <r>
      <rPr>
        <b/>
        <sz val="12"/>
        <rFont val="ＭＳ Ｐゴシック"/>
        <family val="3"/>
        <charset val="128"/>
      </rPr>
      <t>　適切な暖房計画</t>
    </r>
    <phoneticPr fontId="4"/>
  </si>
  <si>
    <r>
      <t>1.2.2</t>
    </r>
    <r>
      <rPr>
        <b/>
        <sz val="12"/>
        <rFont val="ＭＳ Ｐゴシック"/>
        <family val="3"/>
        <charset val="128"/>
      </rPr>
      <t>　適切な冷房計画</t>
    </r>
    <phoneticPr fontId="4"/>
  </si>
  <si>
    <r>
      <t>1.2.1</t>
    </r>
    <r>
      <rPr>
        <b/>
        <sz val="12"/>
        <rFont val="ＭＳ Ｐゴシック"/>
        <family val="3"/>
        <charset val="128"/>
      </rPr>
      <t>　風を取り込み、熱気を逃がす</t>
    </r>
    <rPh sb="6" eb="7">
      <t>フウ</t>
    </rPh>
    <rPh sb="8" eb="9">
      <t>ト</t>
    </rPh>
    <rPh sb="10" eb="11">
      <t>コ</t>
    </rPh>
    <rPh sb="13" eb="14">
      <t>ネツ</t>
    </rPh>
    <rPh sb="14" eb="15">
      <t>キ</t>
    </rPh>
    <rPh sb="16" eb="17">
      <t>ニ</t>
    </rPh>
    <phoneticPr fontId="4"/>
  </si>
  <si>
    <r>
      <t>1.1.2</t>
    </r>
    <r>
      <rPr>
        <b/>
        <sz val="12"/>
        <rFont val="ＭＳ Ｐゴシック"/>
        <family val="3"/>
        <charset val="128"/>
      </rPr>
      <t>　日射の調整機能</t>
    </r>
    <rPh sb="6" eb="8">
      <t>ニッシャ</t>
    </rPh>
    <rPh sb="9" eb="11">
      <t>チョウセイ</t>
    </rPh>
    <rPh sb="11" eb="13">
      <t>キノウ</t>
    </rPh>
    <phoneticPr fontId="4"/>
  </si>
  <si>
    <t>点数</t>
    <rPh sb="0" eb="2">
      <t>テンスウ</t>
    </rPh>
    <phoneticPr fontId="4"/>
  </si>
  <si>
    <t>加点条件</t>
    <rPh sb="0" eb="2">
      <t>カテン</t>
    </rPh>
    <rPh sb="2" eb="4">
      <t>ジョウケン</t>
    </rPh>
    <phoneticPr fontId="4"/>
  </si>
  <si>
    <t>外壁材を交換する際に、外壁材より耐用性の高い躯体（または下地材）を破損しない構造または取り付け方法が採用されている。</t>
    <phoneticPr fontId="4"/>
  </si>
  <si>
    <t>外壁材を交換する際に、外壁材と耐用性が同等である外装建具を破損しない構造または取り付け方法が採用されている。</t>
    <phoneticPr fontId="4"/>
  </si>
  <si>
    <t>外壁材を構成する部品がユニット化されていることにより、構成単位毎の更新が可能である。</t>
    <phoneticPr fontId="4"/>
  </si>
  <si>
    <t>屋根材を交換する際に、屋根材より耐用性の高い下地（野地板）を破損しない構造または取り付け方法が採用されている。</t>
    <phoneticPr fontId="4"/>
  </si>
  <si>
    <t>屋根材で評価する場合</t>
    <phoneticPr fontId="4"/>
  </si>
  <si>
    <t>屋根を構成する部品がユニット化されていることにより、構成単位毎の更新が可能である。</t>
    <phoneticPr fontId="4"/>
  </si>
  <si>
    <t>防水材を交換する際に、防水材より耐用性の高い外装建具（サッシ、ドア）を破損しない構造または取り付け方法が採用されている。</t>
    <phoneticPr fontId="4"/>
  </si>
  <si>
    <t>防水層を構成する部品がユニット化されていることにより、構成単位毎の更新が可能である。</t>
    <phoneticPr fontId="4"/>
  </si>
  <si>
    <t>防水材の劣化を低減させる処置が施されている</t>
    <phoneticPr fontId="4"/>
  </si>
  <si>
    <t>防水層断絶に対して適切な処置が施されている</t>
    <phoneticPr fontId="4"/>
  </si>
  <si>
    <t>防水層で評価する場合</t>
  </si>
  <si>
    <t>その１．
交換容易性</t>
    <phoneticPr fontId="4"/>
  </si>
  <si>
    <t>Subjest1</t>
    <phoneticPr fontId="4"/>
  </si>
  <si>
    <t>Subjest2</t>
    <phoneticPr fontId="4"/>
  </si>
  <si>
    <t>Subjest3</t>
    <phoneticPr fontId="4"/>
  </si>
  <si>
    <t>生物資源の保全と創出</t>
    <rPh sb="2" eb="4">
      <t>シゲン</t>
    </rPh>
    <phoneticPr fontId="4"/>
  </si>
  <si>
    <t>オンサイト</t>
    <phoneticPr fontId="4"/>
  </si>
  <si>
    <t>オフサイト</t>
    <phoneticPr fontId="4"/>
  </si>
  <si>
    <t>Rank(green star)</t>
    <phoneticPr fontId="4"/>
  </si>
  <si>
    <t>劣化低減処置</t>
    <phoneticPr fontId="4"/>
  </si>
  <si>
    <t>その２．</t>
    <phoneticPr fontId="4"/>
  </si>
  <si>
    <t>屋根材で評価</t>
    <rPh sb="0" eb="2">
      <t>ヤネ</t>
    </rPh>
    <rPh sb="2" eb="3">
      <t>ザイ</t>
    </rPh>
    <rPh sb="4" eb="6">
      <t>ヒョウカ</t>
    </rPh>
    <phoneticPr fontId="4"/>
  </si>
  <si>
    <t>防水層で評価</t>
    <rPh sb="0" eb="2">
      <t>ボウスイ</t>
    </rPh>
    <rPh sb="2" eb="3">
      <t>ソウ</t>
    </rPh>
    <rPh sb="4" eb="6">
      <t>ヒョウカ</t>
    </rPh>
    <phoneticPr fontId="4"/>
  </si>
  <si>
    <t>加点数</t>
    <rPh sb="0" eb="2">
      <t>カテン</t>
    </rPh>
    <rPh sb="2" eb="3">
      <t>スウ</t>
    </rPh>
    <phoneticPr fontId="4"/>
  </si>
  <si>
    <t>レベル</t>
    <phoneticPr fontId="4"/>
  </si>
  <si>
    <t>-</t>
    <phoneticPr fontId="4"/>
  </si>
  <si>
    <t>給水ヘッダー方式または給湯ヘッダー方式を採用している。</t>
  </si>
  <si>
    <t>床下集合配管システム（排水ヘッダー方式、集中排水マス方式等）を採用している。</t>
  </si>
  <si>
    <t>専用の台所その他の家事スペース、便所（原則として水洗便所）、洗面所及び浴室が確保されている。</t>
    <phoneticPr fontId="4"/>
  </si>
  <si>
    <t>世帯構成に対応した適正な規模の収納スペースが確保されている。</t>
    <phoneticPr fontId="4"/>
  </si>
  <si>
    <t>対象外</t>
    <rPh sb="0" eb="3">
      <t>タイショウガイ</t>
    </rPh>
    <phoneticPr fontId="4"/>
  </si>
  <si>
    <t>「居間を含む一体的空間」において、建築基準法で求められる有効採光面積を南面の窓あるいは天窓で確保しているか、昼光利用設備がある。</t>
    <phoneticPr fontId="4"/>
  </si>
  <si>
    <t>（該当するレベルなし）</t>
  </si>
  <si>
    <t>対象外の選択</t>
    <rPh sb="0" eb="3">
      <t>タイショウガイ</t>
    </rPh>
    <rPh sb="4" eb="6">
      <t>センタク</t>
    </rPh>
    <phoneticPr fontId="4"/>
  </si>
  <si>
    <r>
      <t>●</t>
    </r>
    <r>
      <rPr>
        <sz val="10"/>
        <color indexed="18"/>
        <rFont val="Arial"/>
        <family val="2"/>
      </rPr>
      <t>CO2</t>
    </r>
    <r>
      <rPr>
        <sz val="10"/>
        <color indexed="18"/>
        <rFont val="ＭＳ Ｐゴシック"/>
        <family val="3"/>
        <charset val="128"/>
      </rPr>
      <t>独自計算</t>
    </r>
    <rPh sb="4" eb="6">
      <t>ドクジ</t>
    </rPh>
    <rPh sb="6" eb="8">
      <t>ケイサン</t>
    </rPh>
    <phoneticPr fontId="4"/>
  </si>
  <si>
    <t>●採点Ｑ２</t>
    <rPh sb="1" eb="3">
      <t>サイテン</t>
    </rPh>
    <phoneticPr fontId="4"/>
  </si>
  <si>
    <t>●電気排出係数</t>
    <rPh sb="1" eb="3">
      <t>デンキ</t>
    </rPh>
    <rPh sb="3" eb="5">
      <t>ハイシュツ</t>
    </rPh>
    <rPh sb="5" eb="7">
      <t>ケイスウ</t>
    </rPh>
    <phoneticPr fontId="4"/>
  </si>
  <si>
    <t>X目盛線</t>
    <rPh sb="1" eb="3">
      <t>メモ</t>
    </rPh>
    <rPh sb="3" eb="4">
      <t>セン</t>
    </rPh>
    <phoneticPr fontId="4"/>
  </si>
  <si>
    <t>基準</t>
    <rPh sb="0" eb="2">
      <t>キジュン</t>
    </rPh>
    <phoneticPr fontId="4"/>
  </si>
  <si>
    <t>矢印（マイナス）</t>
  </si>
  <si>
    <t>dummy -</t>
  </si>
  <si>
    <t>dummy +</t>
  </si>
  <si>
    <t>またがり矢印 (+)</t>
  </si>
  <si>
    <t>評価対象</t>
    <rPh sb="0" eb="2">
      <t>ヒョウカ</t>
    </rPh>
    <rPh sb="2" eb="4">
      <t>タイショウ</t>
    </rPh>
    <phoneticPr fontId="4"/>
  </si>
  <si>
    <t>評価</t>
    <rPh sb="0" eb="2">
      <t>ヒョウカ</t>
    </rPh>
    <phoneticPr fontId="4"/>
  </si>
  <si>
    <t>原点</t>
    <rPh sb="0" eb="2">
      <t>ゲンテン</t>
    </rPh>
    <phoneticPr fontId="4"/>
  </si>
  <si>
    <t>評価する取り組み</t>
    <rPh sb="0" eb="2">
      <t>ヒョウカ</t>
    </rPh>
    <rPh sb="4" eb="5">
      <t>ト</t>
    </rPh>
    <rPh sb="6" eb="7">
      <t>ク</t>
    </rPh>
    <phoneticPr fontId="4"/>
  </si>
  <si>
    <t>建物全体・共用部分</t>
    <rPh sb="0" eb="2">
      <t>タテモノ</t>
    </rPh>
    <rPh sb="2" eb="4">
      <t>ゼンタイ</t>
    </rPh>
    <rPh sb="5" eb="7">
      <t>キョウヨウ</t>
    </rPh>
    <rPh sb="7" eb="9">
      <t>ブブン</t>
    </rPh>
    <phoneticPr fontId="4"/>
  </si>
  <si>
    <t>重み係数</t>
    <rPh sb="0" eb="1">
      <t>オモ</t>
    </rPh>
    <rPh sb="2" eb="4">
      <t>ケイスウ</t>
    </rPh>
    <phoneticPr fontId="4"/>
  </si>
  <si>
    <t>戸建住宅</t>
    <phoneticPr fontId="4"/>
  </si>
  <si>
    <t>暑さ・寒さ</t>
    <rPh sb="0" eb="1">
      <t>アツ</t>
    </rPh>
    <rPh sb="3" eb="4">
      <t>サム</t>
    </rPh>
    <phoneticPr fontId="4"/>
  </si>
  <si>
    <t>基本性能</t>
    <rPh sb="0" eb="2">
      <t>キホン</t>
    </rPh>
    <rPh sb="2" eb="4">
      <t>セイノウ</t>
    </rPh>
    <phoneticPr fontId="4"/>
  </si>
  <si>
    <t>○</t>
    <phoneticPr fontId="4"/>
  </si>
  <si>
    <t>ON</t>
    <phoneticPr fontId="4"/>
  </si>
  <si>
    <t>確認日</t>
    <rPh sb="0" eb="2">
      <t>カクニン</t>
    </rPh>
    <rPh sb="2" eb="3">
      <t>ビ</t>
    </rPh>
    <phoneticPr fontId="4"/>
  </si>
  <si>
    <t>修繕・更新・
解体段階</t>
    <phoneticPr fontId="4"/>
  </si>
  <si>
    <t>①参照値／
②建築物の取組み</t>
    <phoneticPr fontId="4"/>
  </si>
  <si>
    <t>③上記+②以外の
　オンサイト手法</t>
    <phoneticPr fontId="4"/>
  </si>
  <si>
    <t>－</t>
    <phoneticPr fontId="4"/>
  </si>
  <si>
    <t>④上記+
　オフサイト手法</t>
    <phoneticPr fontId="4"/>
  </si>
  <si>
    <t>(a-2)　グリーン熱証書によるカーボンオフセット</t>
    <phoneticPr fontId="4"/>
  </si>
  <si>
    <t>-</t>
    <phoneticPr fontId="4"/>
  </si>
  <si>
    <t>(a-3)　その他のカーボンオフセット</t>
    <phoneticPr fontId="4"/>
  </si>
  <si>
    <t>(b)　調整後排出量（調整後排出係数による）と実排出量との差</t>
    <phoneticPr fontId="4"/>
  </si>
  <si>
    <t>排出係数</t>
    <phoneticPr fontId="4"/>
  </si>
  <si>
    <r>
      <t>kg-CO</t>
    </r>
    <r>
      <rPr>
        <vertAlign val="subscript"/>
        <sz val="10"/>
        <rFont val="ＭＳ Ｐゴシック"/>
        <family val="3"/>
        <charset val="128"/>
      </rPr>
      <t>2</t>
    </r>
    <r>
      <rPr>
        <sz val="10"/>
        <rFont val="ＭＳ Ｐゴシック"/>
        <family val="3"/>
        <charset val="128"/>
      </rPr>
      <t>/kWh</t>
    </r>
    <phoneticPr fontId="4"/>
  </si>
  <si>
    <r>
      <t>kg-CO</t>
    </r>
    <r>
      <rPr>
        <vertAlign val="subscript"/>
        <sz val="10"/>
        <rFont val="ＭＳ Ｐゴシック"/>
        <family val="3"/>
        <charset val="128"/>
      </rPr>
      <t>2</t>
    </r>
    <r>
      <rPr>
        <sz val="10"/>
        <rFont val="ＭＳ Ｐゴシック"/>
        <family val="3"/>
        <charset val="128"/>
      </rPr>
      <t>/kWh</t>
    </r>
    <phoneticPr fontId="4"/>
  </si>
  <si>
    <t>（C)－（D)</t>
    <phoneticPr fontId="4"/>
  </si>
  <si>
    <r>
      <t>LR</t>
    </r>
    <r>
      <rPr>
        <b/>
        <vertAlign val="subscript"/>
        <sz val="11"/>
        <rFont val="ＭＳ Ｐゴシック"/>
        <family val="3"/>
        <charset val="128"/>
      </rPr>
      <t>H</t>
    </r>
    <phoneticPr fontId="4"/>
  </si>
  <si>
    <t>1.3.2</t>
    <phoneticPr fontId="4"/>
  </si>
  <si>
    <t>3.2</t>
    <phoneticPr fontId="4"/>
  </si>
  <si>
    <r>
      <t>Q</t>
    </r>
    <r>
      <rPr>
        <b/>
        <vertAlign val="subscript"/>
        <sz val="10"/>
        <rFont val="ＭＳ Ｐゴシック"/>
        <family val="3"/>
        <charset val="128"/>
      </rPr>
      <t>H</t>
    </r>
    <r>
      <rPr>
        <b/>
        <sz val="10"/>
        <rFont val="ＭＳ Ｐゴシック"/>
        <family val="3"/>
        <charset val="128"/>
      </rPr>
      <t>2</t>
    </r>
    <phoneticPr fontId="4"/>
  </si>
  <si>
    <r>
      <t>Q</t>
    </r>
    <r>
      <rPr>
        <b/>
        <vertAlign val="subscript"/>
        <sz val="10"/>
        <rFont val="ＭＳ Ｐゴシック"/>
        <family val="3"/>
        <charset val="128"/>
      </rPr>
      <t>H</t>
    </r>
    <r>
      <rPr>
        <b/>
        <sz val="10"/>
        <rFont val="ＭＳ Ｐゴシック"/>
        <family val="3"/>
        <charset val="128"/>
      </rPr>
      <t>3</t>
    </r>
    <phoneticPr fontId="4"/>
  </si>
  <si>
    <t>生物環境の創出</t>
    <phoneticPr fontId="4"/>
  </si>
  <si>
    <r>
      <t>LR</t>
    </r>
    <r>
      <rPr>
        <b/>
        <vertAlign val="subscript"/>
        <sz val="10"/>
        <rFont val="ＭＳ Ｐゴシック"/>
        <family val="3"/>
        <charset val="128"/>
      </rPr>
      <t>H</t>
    </r>
    <r>
      <rPr>
        <b/>
        <sz val="10"/>
        <rFont val="ＭＳ Ｐゴシック"/>
        <family val="3"/>
        <charset val="128"/>
      </rPr>
      <t>1</t>
    </r>
    <phoneticPr fontId="4"/>
  </si>
  <si>
    <t>エネルギーと水を大切に使う</t>
    <phoneticPr fontId="4"/>
  </si>
  <si>
    <r>
      <t>LR</t>
    </r>
    <r>
      <rPr>
        <b/>
        <vertAlign val="subscript"/>
        <sz val="10"/>
        <rFont val="ＭＳ Ｐゴシック"/>
        <family val="3"/>
        <charset val="128"/>
      </rPr>
      <t>H</t>
    </r>
    <r>
      <rPr>
        <b/>
        <sz val="10"/>
        <rFont val="ＭＳ Ｐゴシック"/>
        <family val="3"/>
        <charset val="128"/>
      </rPr>
      <t>2</t>
    </r>
    <phoneticPr fontId="4"/>
  </si>
  <si>
    <t>3.2</t>
    <phoneticPr fontId="4"/>
  </si>
  <si>
    <r>
      <t>LR</t>
    </r>
    <r>
      <rPr>
        <b/>
        <vertAlign val="subscript"/>
        <sz val="10"/>
        <rFont val="ＭＳ Ｐゴシック"/>
        <family val="3"/>
        <charset val="128"/>
      </rPr>
      <t>H</t>
    </r>
    <r>
      <rPr>
        <b/>
        <sz val="10"/>
        <rFont val="ＭＳ Ｐゴシック"/>
        <family val="3"/>
        <charset val="128"/>
      </rPr>
      <t>3</t>
    </r>
    <phoneticPr fontId="4"/>
  </si>
  <si>
    <t>1</t>
    <phoneticPr fontId="4"/>
  </si>
  <si>
    <t>2.3</t>
    <phoneticPr fontId="4"/>
  </si>
  <si>
    <t>2</t>
    <phoneticPr fontId="4"/>
  </si>
  <si>
    <t>2.3</t>
    <phoneticPr fontId="4"/>
  </si>
  <si>
    <t>2.1</t>
    <phoneticPr fontId="4"/>
  </si>
  <si>
    <t>2.3.3</t>
    <phoneticPr fontId="4"/>
  </si>
  <si>
    <t>地域インフラの負荷抑制</t>
    <phoneticPr fontId="4"/>
  </si>
  <si>
    <t>2.2</t>
    <phoneticPr fontId="4"/>
  </si>
  <si>
    <t>既存の自然環境の保全</t>
    <phoneticPr fontId="4"/>
  </si>
  <si>
    <t>3</t>
    <phoneticPr fontId="4"/>
  </si>
  <si>
    <t>2.3</t>
    <phoneticPr fontId="4"/>
  </si>
  <si>
    <t>3.1</t>
    <phoneticPr fontId="4"/>
  </si>
  <si>
    <t>2.3.2</t>
    <phoneticPr fontId="4"/>
  </si>
  <si>
    <t>3.2</t>
    <phoneticPr fontId="4"/>
  </si>
  <si>
    <t>2.3.2</t>
    <phoneticPr fontId="4"/>
  </si>
  <si>
    <t>確認者</t>
    <rPh sb="0" eb="2">
      <t>カクニン</t>
    </rPh>
    <rPh sb="2" eb="3">
      <t>シャ</t>
    </rPh>
    <phoneticPr fontId="4"/>
  </si>
  <si>
    <t>1）概要入力</t>
    <rPh sb="2" eb="4">
      <t>ガイヨウ</t>
    </rPh>
    <rPh sb="4" eb="6">
      <t>ニュウリョク</t>
    </rPh>
    <phoneticPr fontId="4"/>
  </si>
  <si>
    <r>
      <t>Q</t>
    </r>
    <r>
      <rPr>
        <b/>
        <vertAlign val="subscript"/>
        <sz val="12"/>
        <color indexed="9"/>
        <rFont val="ＭＳ Ｐゴシック"/>
        <family val="3"/>
        <charset val="128"/>
      </rPr>
      <t>H</t>
    </r>
    <r>
      <rPr>
        <b/>
        <sz val="12"/>
        <color indexed="9"/>
        <rFont val="ＭＳ Ｐゴシック"/>
        <family val="3"/>
        <charset val="128"/>
      </rPr>
      <t>　すまいの環境品質</t>
    </r>
    <phoneticPr fontId="4"/>
  </si>
  <si>
    <r>
      <t>kg-CO</t>
    </r>
    <r>
      <rPr>
        <vertAlign val="subscript"/>
        <sz val="9"/>
        <rFont val="ＭＳ Ｐゴシック"/>
        <family val="3"/>
        <charset val="128"/>
      </rPr>
      <t>2</t>
    </r>
    <r>
      <rPr>
        <sz val="9"/>
        <rFont val="ＭＳ Ｐゴシック"/>
        <family val="3"/>
        <charset val="128"/>
      </rPr>
      <t>/年㎡</t>
    </r>
    <rPh sb="7" eb="8">
      <t>ネン</t>
    </rPh>
    <phoneticPr fontId="4"/>
  </si>
  <si>
    <t>該当する開口部の日射侵入率を、夏期に0.60以下とできる。</t>
    <phoneticPr fontId="4"/>
  </si>
  <si>
    <t>該当する開口部の日射侵入率を、夏期に0.45以下とできる。</t>
    <phoneticPr fontId="4"/>
  </si>
  <si>
    <t>水の節約</t>
    <rPh sb="0" eb="1">
      <t>スイ</t>
    </rPh>
    <rPh sb="2" eb="4">
      <t>セツヤク</t>
    </rPh>
    <phoneticPr fontId="4"/>
  </si>
  <si>
    <t>節水型設備</t>
    <phoneticPr fontId="4"/>
  </si>
  <si>
    <t>住まい方の提示</t>
  </si>
  <si>
    <t>低環境負荷材料</t>
    <rPh sb="0" eb="1">
      <t>テイ</t>
    </rPh>
    <rPh sb="1" eb="3">
      <t>カンキョウ</t>
    </rPh>
    <rPh sb="3" eb="5">
      <t>フカ</t>
    </rPh>
    <rPh sb="5" eb="7">
      <t>ザイリョウ</t>
    </rPh>
    <phoneticPr fontId="4"/>
  </si>
  <si>
    <t>Y目盛線</t>
    <rPh sb="1" eb="3">
      <t>メモ</t>
    </rPh>
    <rPh sb="3" eb="4">
      <t>セン</t>
    </rPh>
    <phoneticPr fontId="4"/>
  </si>
  <si>
    <t>■　環境設計の配慮事項</t>
    <rPh sb="2" eb="4">
      <t>カンキョウ</t>
    </rPh>
    <rPh sb="4" eb="6">
      <t>セッケイ</t>
    </rPh>
    <rPh sb="7" eb="9">
      <t>ハイリョ</t>
    </rPh>
    <rPh sb="9" eb="11">
      <t>ジコウ</t>
    </rPh>
    <phoneticPr fontId="4"/>
  </si>
  <si>
    <t>合計＝</t>
    <phoneticPr fontId="4"/>
  </si>
  <si>
    <r>
      <t>c</t>
    </r>
    <r>
      <rPr>
        <sz val="11"/>
        <rFont val="ＭＳ Ｐゴシック"/>
        <family val="3"/>
        <charset val="128"/>
      </rPr>
      <t>ommon</t>
    </r>
    <phoneticPr fontId="4"/>
  </si>
  <si>
    <t>竣工段階</t>
    <rPh sb="0" eb="2">
      <t>シュンコウ</t>
    </rPh>
    <rPh sb="2" eb="4">
      <t>ダンカイ</t>
    </rPh>
    <phoneticPr fontId="4"/>
  </si>
  <si>
    <t>　レベル　1</t>
    <phoneticPr fontId="4"/>
  </si>
  <si>
    <t>　レベル　2</t>
  </si>
  <si>
    <t>　レベル　3</t>
  </si>
  <si>
    <t>　レベル　4</t>
  </si>
  <si>
    <t>　レベル　5</t>
  </si>
  <si>
    <t>重み
係数</t>
    <rPh sb="0" eb="1">
      <t>オモ</t>
    </rPh>
    <phoneticPr fontId="4"/>
  </si>
  <si>
    <t>1.1.1</t>
  </si>
  <si>
    <t>1.1.2</t>
  </si>
  <si>
    <t>項目</t>
    <rPh sb="0" eb="2">
      <t>コウモク</t>
    </rPh>
    <phoneticPr fontId="4"/>
  </si>
  <si>
    <t>■建設地</t>
    <rPh sb="1" eb="4">
      <t>ｹﾝｾﾂﾁ</t>
    </rPh>
    <phoneticPr fontId="18" type="noConversion"/>
  </si>
  <si>
    <t>■パッシブ地域区分</t>
    <rPh sb="5" eb="7">
      <t>チイキ</t>
    </rPh>
    <rPh sb="7" eb="9">
      <t>クブン</t>
    </rPh>
    <phoneticPr fontId="4"/>
  </si>
  <si>
    <t>■建物用途名</t>
    <rPh sb="1" eb="3">
      <t>タテモノ</t>
    </rPh>
    <rPh sb="3" eb="5">
      <t>ヨウト</t>
    </rPh>
    <rPh sb="5" eb="6">
      <t>メイ</t>
    </rPh>
    <phoneticPr fontId="4"/>
  </si>
  <si>
    <t>■用途</t>
    <rPh sb="1" eb="3">
      <t>ヨウト</t>
    </rPh>
    <phoneticPr fontId="4"/>
  </si>
  <si>
    <t>戸建住宅</t>
  </si>
  <si>
    <t>暑さ・寒さ</t>
  </si>
  <si>
    <t>基本性能</t>
  </si>
  <si>
    <t>日射の調整機能</t>
  </si>
  <si>
    <t>夏の暑さを防ぐ</t>
  </si>
  <si>
    <t>風を取り込み、熱気を逃がす</t>
  </si>
  <si>
    <t>適切な冷房計画</t>
  </si>
  <si>
    <t>冬の寒さを防ぐ</t>
  </si>
  <si>
    <t>適切な暖房計画</t>
  </si>
  <si>
    <t>健康と安全・安心</t>
  </si>
  <si>
    <t>化学汚染物質の対策</t>
  </si>
  <si>
    <t>犯罪に備える</t>
  </si>
  <si>
    <t>明るさ</t>
  </si>
  <si>
    <t>昼光の利用</t>
  </si>
  <si>
    <t>静かさ</t>
  </si>
  <si>
    <t>長く使い続ける</t>
  </si>
  <si>
    <t>躯体</t>
    <rPh sb="0" eb="2">
      <t>クタイ</t>
    </rPh>
    <phoneticPr fontId="4"/>
  </si>
  <si>
    <t>自然災害に耐える</t>
  </si>
  <si>
    <t>火災に備える</t>
  </si>
  <si>
    <t>火災の早期感知</t>
  </si>
  <si>
    <t>維持管理</t>
  </si>
  <si>
    <t>維持管理</t>
    <rPh sb="0" eb="2">
      <t>イジ</t>
    </rPh>
    <rPh sb="2" eb="4">
      <t>カンリ</t>
    </rPh>
    <phoneticPr fontId="4"/>
  </si>
  <si>
    <t>維持管理のしやすさ</t>
  </si>
  <si>
    <t>維持管理のしやすさ</t>
    <rPh sb="0" eb="2">
      <t>イジ</t>
    </rPh>
    <rPh sb="2" eb="4">
      <t>カンリ</t>
    </rPh>
    <phoneticPr fontId="4"/>
  </si>
  <si>
    <t>広さと間取り</t>
  </si>
  <si>
    <t>バリアフリー対応</t>
  </si>
  <si>
    <t>まちなみ・生態系を豊かにする</t>
  </si>
  <si>
    <t>地域の安全・安心</t>
  </si>
  <si>
    <t>敷地内の緑化</t>
  </si>
  <si>
    <t>生物の生息環境の確保</t>
  </si>
  <si>
    <t>水の節約</t>
  </si>
  <si>
    <t>節水型設備</t>
  </si>
  <si>
    <t>N.A.</t>
  </si>
  <si>
    <t>雨水の利用</t>
  </si>
  <si>
    <t>エネルギーの管理と制御</t>
  </si>
  <si>
    <t>維持管理と運用の工夫</t>
  </si>
  <si>
    <t>資源を大切に使いゴミを減らす</t>
  </si>
  <si>
    <t>省資源、廃棄物抑制に役立つ材料の採用</t>
  </si>
  <si>
    <t>構造躯体</t>
  </si>
  <si>
    <t>木質系住宅</t>
  </si>
  <si>
    <t>鉄骨系住宅</t>
  </si>
  <si>
    <t>コンクリート系住宅</t>
  </si>
  <si>
    <t>地盤補強材・地業・基礎</t>
  </si>
  <si>
    <t>外装材</t>
  </si>
  <si>
    <t>内装材</t>
  </si>
  <si>
    <t>外構材</t>
  </si>
  <si>
    <t>施工段階</t>
  </si>
  <si>
    <t>使用材料の情報提供</t>
  </si>
  <si>
    <t>1</t>
  </si>
  <si>
    <t>1.1</t>
  </si>
  <si>
    <t>1.1.1.1</t>
  </si>
  <si>
    <t>1.2.1</t>
  </si>
  <si>
    <t>1.1.1.2</t>
  </si>
  <si>
    <t>1.2.2</t>
  </si>
  <si>
    <t>1.3.1</t>
  </si>
  <si>
    <t>1.1.3</t>
  </si>
  <si>
    <t>1.2</t>
  </si>
  <si>
    <t>1.5.1</t>
  </si>
  <si>
    <t>1.5.2</t>
  </si>
  <si>
    <t>1.2.3</t>
  </si>
  <si>
    <t>2</t>
  </si>
  <si>
    <t>2.1</t>
  </si>
  <si>
    <t>2.2</t>
  </si>
  <si>
    <t>2.2.1.1</t>
  </si>
  <si>
    <t>リサイクルの促進</t>
  </si>
  <si>
    <t>2.2.3</t>
  </si>
  <si>
    <t>長寿命に対する基本性能</t>
    <rPh sb="0" eb="1">
      <t>チョウ</t>
    </rPh>
    <rPh sb="1" eb="2">
      <t>コトブキ</t>
    </rPh>
    <phoneticPr fontId="4"/>
  </si>
  <si>
    <t>外壁材</t>
    <rPh sb="0" eb="2">
      <t>ガイヘキ</t>
    </rPh>
    <rPh sb="2" eb="3">
      <t>ザイ</t>
    </rPh>
    <phoneticPr fontId="4"/>
  </si>
  <si>
    <t>住まい方の堤示</t>
    <rPh sb="6" eb="7">
      <t>シメ</t>
    </rPh>
    <phoneticPr fontId="4"/>
  </si>
  <si>
    <t>長寿命に対する基本性能</t>
    <rPh sb="0" eb="2">
      <t>チョウジュ</t>
    </rPh>
    <rPh sb="2" eb="3">
      <t>イノチ</t>
    </rPh>
    <rPh sb="4" eb="5">
      <t>タイ</t>
    </rPh>
    <rPh sb="7" eb="9">
      <t>キホン</t>
    </rPh>
    <rPh sb="9" eb="11">
      <t>セイノウ</t>
    </rPh>
    <phoneticPr fontId="4"/>
  </si>
  <si>
    <t>12～25年未満の耐用性が期待される。</t>
    <phoneticPr fontId="4"/>
  </si>
  <si>
    <t>25～50年未満の耐用性が期待される。</t>
    <phoneticPr fontId="4"/>
  </si>
  <si>
    <t>単位</t>
    <rPh sb="0" eb="2">
      <t>タンイ</t>
    </rPh>
    <phoneticPr fontId="4"/>
  </si>
  <si>
    <t>生産段階（構造躯体用以外の部材）</t>
    <rPh sb="9" eb="10">
      <t>ヨウ</t>
    </rPh>
    <phoneticPr fontId="4"/>
  </si>
  <si>
    <t>生産段階（構造躯体用部材）</t>
    <rPh sb="9" eb="10">
      <t>ヨウ</t>
    </rPh>
    <phoneticPr fontId="4"/>
  </si>
  <si>
    <r>
      <t>このグラフは、一般的な住宅（参照値）と比べたライフサイクル</t>
    </r>
    <r>
      <rPr>
        <sz val="11"/>
        <color indexed="10"/>
        <rFont val="Arial"/>
        <family val="2"/>
      </rPr>
      <t xml:space="preserve">CO2 </t>
    </r>
    <r>
      <rPr>
        <sz val="11"/>
        <color indexed="10"/>
        <rFont val="ＭＳ Ｐゴシック"/>
        <family val="3"/>
        <charset val="128"/>
      </rPr>
      <t>排出量を評価者自身の計算（独自計算）により算出した結果を示しています。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CO2</t>
    </r>
    <r>
      <rPr>
        <sz val="11"/>
        <color indexed="10"/>
        <rFont val="ＭＳ Ｐゴシック"/>
        <family val="3"/>
        <charset val="128"/>
      </rPr>
      <t>独自計算シート」を参照</t>
    </r>
    <rPh sb="37" eb="39">
      <t>ヒョウカ</t>
    </rPh>
    <rPh sb="39" eb="40">
      <t>シャ</t>
    </rPh>
    <rPh sb="40" eb="42">
      <t>ジシン</t>
    </rPh>
    <rPh sb="43" eb="45">
      <t>ケイサン</t>
    </rPh>
    <rPh sb="46" eb="48">
      <t>ドクジ</t>
    </rPh>
    <rPh sb="48" eb="50">
      <t>ケイサン</t>
    </rPh>
    <rPh sb="54" eb="56">
      <t>サンシュツ</t>
    </rPh>
    <rPh sb="58" eb="60">
      <t>ケッカ</t>
    </rPh>
    <rPh sb="61" eb="62">
      <t>シメ</t>
    </rPh>
    <rPh sb="89" eb="91">
      <t>ドクジ</t>
    </rPh>
    <rPh sb="91" eb="93">
      <t>ケイサン</t>
    </rPh>
    <phoneticPr fontId="4"/>
  </si>
  <si>
    <t>削減分</t>
    <rPh sb="0" eb="2">
      <t>サクゲン</t>
    </rPh>
    <rPh sb="2" eb="3">
      <t>ブン</t>
    </rPh>
    <phoneticPr fontId="4"/>
  </si>
  <si>
    <t>地球環境への配慮</t>
    <rPh sb="0" eb="2">
      <t>チキュウ</t>
    </rPh>
    <rPh sb="2" eb="4">
      <t>カンキョウ</t>
    </rPh>
    <rPh sb="6" eb="8">
      <t>ハイリョ</t>
    </rPh>
    <phoneticPr fontId="4"/>
  </si>
  <si>
    <t>日本住宅性能表示基準「9-1 高齢者等配慮対策等級（専用部分）」における等級１を満たす。</t>
    <phoneticPr fontId="4"/>
  </si>
  <si>
    <t>日本住宅性能表示基準「9-1 高齢者等配慮対策等級（専用部分）」における等級２を満たす。</t>
    <phoneticPr fontId="4"/>
  </si>
  <si>
    <t>日本住宅性能表示基準「9-1 高齢者等配慮対策等級（専用部分）」における等級３を満たす。</t>
    <phoneticPr fontId="4"/>
  </si>
  <si>
    <t>日本住宅性能表示基準「9-1 高齢者等配慮対策等級（専用部分）」における等級４以上を満たす</t>
    <phoneticPr fontId="4"/>
  </si>
  <si>
    <t>躯体と設備による省エネ</t>
    <rPh sb="0" eb="2">
      <t>クタイ</t>
    </rPh>
    <rPh sb="3" eb="5">
      <t>セツビ</t>
    </rPh>
    <rPh sb="8" eb="9">
      <t>ショウ</t>
    </rPh>
    <phoneticPr fontId="4"/>
  </si>
  <si>
    <t>備考</t>
    <rPh sb="0" eb="2">
      <t>ビコウ</t>
    </rPh>
    <phoneticPr fontId="4"/>
  </si>
  <si>
    <t>MJ/年</t>
    <rPh sb="3" eb="4">
      <t>ネン</t>
    </rPh>
    <phoneticPr fontId="4"/>
  </si>
  <si>
    <t>家電・調理除く</t>
    <rPh sb="0" eb="2">
      <t>カデン</t>
    </rPh>
    <rPh sb="3" eb="5">
      <t>チョウリ</t>
    </rPh>
    <rPh sb="5" eb="6">
      <t>ノゾ</t>
    </rPh>
    <phoneticPr fontId="4"/>
  </si>
  <si>
    <t>家電・厨房機器による省エネ</t>
    <rPh sb="10" eb="11">
      <t>ショウ</t>
    </rPh>
    <phoneticPr fontId="4"/>
  </si>
  <si>
    <t>下記採点表による採点が、０点</t>
  </si>
  <si>
    <t>下記採点表による採点が、１点</t>
  </si>
  <si>
    <t>下記採点表による採点が、２点以上５点未満</t>
  </si>
  <si>
    <t>下記採点表による採点が、５点</t>
  </si>
  <si>
    <t>電気冷蔵庫</t>
    <rPh sb="0" eb="2">
      <t>デンキ</t>
    </rPh>
    <rPh sb="2" eb="5">
      <t>レイゾウコ</t>
    </rPh>
    <phoneticPr fontId="4"/>
  </si>
  <si>
    <t>電気便座</t>
    <rPh sb="0" eb="2">
      <t>デンキ</t>
    </rPh>
    <rPh sb="2" eb="4">
      <t>ベンザ</t>
    </rPh>
    <phoneticPr fontId="4"/>
  </si>
  <si>
    <t>テレビ</t>
    <phoneticPr fontId="4"/>
  </si>
  <si>
    <t>ガスこんろ</t>
    <phoneticPr fontId="4"/>
  </si>
  <si>
    <t>電気クッキングヒーター</t>
    <phoneticPr fontId="4"/>
  </si>
  <si>
    <t>節水トイレの設置</t>
    <phoneticPr fontId="4"/>
  </si>
  <si>
    <t>節水水栓の設置</t>
    <phoneticPr fontId="4"/>
  </si>
  <si>
    <t>食器用洗浄機の設置</t>
    <phoneticPr fontId="4"/>
  </si>
  <si>
    <t>レベル４を超える水準の取組みをしている。</t>
    <phoneticPr fontId="4"/>
  </si>
  <si>
    <t>3-1.　建築物の取組み（②）</t>
    <phoneticPr fontId="4"/>
  </si>
  <si>
    <t>評価対象（②）</t>
    <phoneticPr fontId="4"/>
  </si>
  <si>
    <t>参照値（①）</t>
    <phoneticPr fontId="4"/>
  </si>
  <si>
    <t>ﾚﾍﾞﾙ１</t>
    <phoneticPr fontId="4"/>
  </si>
  <si>
    <t>ﾚﾍﾞﾙ２</t>
    <phoneticPr fontId="4"/>
  </si>
  <si>
    <t>ﾚﾍﾞﾙ３</t>
    <phoneticPr fontId="4"/>
  </si>
  <si>
    <t>ﾚﾍﾞﾙ５</t>
    <phoneticPr fontId="4"/>
  </si>
  <si>
    <t>採点結果</t>
    <phoneticPr fontId="4"/>
  </si>
  <si>
    <t>消費率</t>
    <phoneticPr fontId="4"/>
  </si>
  <si>
    <t>採点結果</t>
    <phoneticPr fontId="4"/>
  </si>
  <si>
    <t>基準値</t>
    <phoneticPr fontId="4"/>
  </si>
  <si>
    <t>LR1/4.　維持管理の運用の工夫</t>
    <phoneticPr fontId="4"/>
  </si>
  <si>
    <t>低減率</t>
    <phoneticPr fontId="4"/>
  </si>
  <si>
    <t>3-2.　上記+上記以外のオンサイト手法（③）</t>
    <phoneticPr fontId="4"/>
  </si>
  <si>
    <t>N.A.</t>
    <phoneticPr fontId="4"/>
  </si>
  <si>
    <t>Ａ重油</t>
  </si>
  <si>
    <t>家庭部門エネルギー種別構成比</t>
    <rPh sb="0" eb="2">
      <t>カテイ</t>
    </rPh>
    <rPh sb="2" eb="4">
      <t>ブモン</t>
    </rPh>
    <rPh sb="9" eb="11">
      <t>シュベツ</t>
    </rPh>
    <rPh sb="11" eb="14">
      <t>コウセイヒ</t>
    </rPh>
    <phoneticPr fontId="4"/>
  </si>
  <si>
    <t>都市ガス</t>
    <rPh sb="0" eb="2">
      <t>トシ</t>
    </rPh>
    <phoneticPr fontId="3"/>
  </si>
  <si>
    <t>灯油</t>
    <rPh sb="0" eb="2">
      <t>トウユ</t>
    </rPh>
    <phoneticPr fontId="3"/>
  </si>
  <si>
    <t>その他</t>
    <rPh sb="2" eb="3">
      <t>タ</t>
    </rPh>
    <phoneticPr fontId="3"/>
  </si>
  <si>
    <t>LPG</t>
    <phoneticPr fontId="4"/>
  </si>
  <si>
    <t>電力</t>
    <rPh sb="0" eb="2">
      <t>デンリョク</t>
    </rPh>
    <phoneticPr fontId="4"/>
  </si>
  <si>
    <t>都市ガス</t>
    <rPh sb="0" eb="2">
      <t>トシ</t>
    </rPh>
    <phoneticPr fontId="4"/>
  </si>
  <si>
    <t>灯油</t>
    <rPh sb="0" eb="2">
      <t>トウユ</t>
    </rPh>
    <phoneticPr fontId="4"/>
  </si>
  <si>
    <t>A重油</t>
    <rPh sb="1" eb="3">
      <t>ジュウユ</t>
    </rPh>
    <phoneticPr fontId="4"/>
  </si>
  <si>
    <t>構成比(％)</t>
    <rPh sb="0" eb="3">
      <t>コウセイヒ</t>
    </rPh>
    <phoneticPr fontId="4"/>
  </si>
  <si>
    <t>（調整後排出係数</t>
    <rPh sb="1" eb="4">
      <t>チョウセイゴ</t>
    </rPh>
    <rPh sb="4" eb="6">
      <t>ハイシュツ</t>
    </rPh>
    <rPh sb="6" eb="8">
      <t>ケイスウ</t>
    </rPh>
    <phoneticPr fontId="4"/>
  </si>
  <si>
    <t>躯体と設備による省エネ</t>
    <phoneticPr fontId="4"/>
  </si>
  <si>
    <t>総合的な省エネ</t>
    <rPh sb="0" eb="3">
      <t>ソウゴウテキ</t>
    </rPh>
    <rPh sb="4" eb="5">
      <t>ショウ</t>
    </rPh>
    <phoneticPr fontId="4"/>
  </si>
  <si>
    <t>1.2</t>
    <phoneticPr fontId="4"/>
  </si>
  <si>
    <t>家電・厨房機器による省エネ</t>
    <rPh sb="5" eb="7">
      <t>キキ</t>
    </rPh>
    <rPh sb="10" eb="11">
      <t>ショウ</t>
    </rPh>
    <phoneticPr fontId="4"/>
  </si>
  <si>
    <t>2.4</t>
    <phoneticPr fontId="4"/>
  </si>
  <si>
    <t>1.1.2</t>
    <phoneticPr fontId="4"/>
  </si>
  <si>
    <t>2.1.1</t>
    <phoneticPr fontId="4"/>
  </si>
  <si>
    <t>総合的な省エネ</t>
    <rPh sb="0" eb="3">
      <t>ソウゴウテキ</t>
    </rPh>
    <phoneticPr fontId="4"/>
  </si>
  <si>
    <t>地域</t>
    <rPh sb="0" eb="2">
      <t>チイキ</t>
    </rPh>
    <phoneticPr fontId="4"/>
  </si>
  <si>
    <t>防災性の
向上</t>
    <rPh sb="0" eb="1">
      <t>フセ</t>
    </rPh>
    <rPh sb="1" eb="2">
      <t>サイ</t>
    </rPh>
    <rPh sb="2" eb="3">
      <t>セイ</t>
    </rPh>
    <rPh sb="5" eb="7">
      <t>コウジョウ</t>
    </rPh>
    <phoneticPr fontId="4"/>
  </si>
  <si>
    <t>・卓越風向に対する建築物の見付面積率　60％未満</t>
    <rPh sb="1" eb="3">
      <t>タクエツ</t>
    </rPh>
    <rPh sb="3" eb="5">
      <t>フウコウ</t>
    </rPh>
    <rPh sb="6" eb="7">
      <t>タイ</t>
    </rPh>
    <rPh sb="9" eb="12">
      <t>ケンチクブツ</t>
    </rPh>
    <rPh sb="13" eb="15">
      <t>ミツケ</t>
    </rPh>
    <rPh sb="15" eb="17">
      <t>メンセキ</t>
    </rPh>
    <rPh sb="17" eb="18">
      <t>リツ</t>
    </rPh>
    <rPh sb="22" eb="24">
      <t>ミマン</t>
    </rPh>
    <phoneticPr fontId="4"/>
  </si>
  <si>
    <t>敷地内に緑地や水面等を確保する</t>
    <rPh sb="9" eb="10">
      <t>ナド</t>
    </rPh>
    <phoneticPr fontId="4"/>
  </si>
  <si>
    <t>・敷地面積に対する緑化等面積率　10％以上</t>
    <rPh sb="1" eb="3">
      <t>シキチ</t>
    </rPh>
    <rPh sb="3" eb="5">
      <t>メンセキ</t>
    </rPh>
    <rPh sb="6" eb="7">
      <t>タイ</t>
    </rPh>
    <rPh sb="9" eb="11">
      <t>リョッカ</t>
    </rPh>
    <rPh sb="11" eb="12">
      <t>ナド</t>
    </rPh>
    <rPh sb="12" eb="14">
      <t>メンセキ</t>
    </rPh>
    <rPh sb="14" eb="15">
      <t>リツ</t>
    </rPh>
    <rPh sb="19" eb="21">
      <t>イジョウ</t>
    </rPh>
    <phoneticPr fontId="4"/>
  </si>
  <si>
    <t>①敷地面積に対する舗装面積率　20％未満</t>
    <rPh sb="1" eb="3">
      <t>シキチ</t>
    </rPh>
    <rPh sb="3" eb="5">
      <t>メンセキ</t>
    </rPh>
    <rPh sb="6" eb="7">
      <t>タイ</t>
    </rPh>
    <phoneticPr fontId="4"/>
  </si>
  <si>
    <t>②地表面に対する日射反射面積率　10％以上</t>
    <rPh sb="5" eb="6">
      <t>タイ</t>
    </rPh>
    <rPh sb="8" eb="10">
      <t>ニッシャ</t>
    </rPh>
    <rPh sb="10" eb="12">
      <t>ハンシャ</t>
    </rPh>
    <rPh sb="12" eb="14">
      <t>メンセキ</t>
    </rPh>
    <phoneticPr fontId="4"/>
  </si>
  <si>
    <t>①屋根面積に対する屋根緑化等面積率＋日射反射率又は長波放射率の高い屋根材の面積率　20％以上</t>
    <rPh sb="1" eb="3">
      <t>ヤネ</t>
    </rPh>
    <rPh sb="3" eb="5">
      <t>メンセキ</t>
    </rPh>
    <rPh sb="6" eb="7">
      <t>タイ</t>
    </rPh>
    <rPh sb="9" eb="11">
      <t>ヤネ</t>
    </rPh>
    <rPh sb="11" eb="14">
      <t>リョッカナド</t>
    </rPh>
    <rPh sb="14" eb="16">
      <t>メンセキ</t>
    </rPh>
    <rPh sb="16" eb="17">
      <t>リツ</t>
    </rPh>
    <rPh sb="18" eb="20">
      <t>ニッシャ</t>
    </rPh>
    <rPh sb="20" eb="22">
      <t>ハンシャ</t>
    </rPh>
    <rPh sb="22" eb="23">
      <t>リツ</t>
    </rPh>
    <rPh sb="23" eb="24">
      <t>マタ</t>
    </rPh>
    <rPh sb="25" eb="27">
      <t>チョウハ</t>
    </rPh>
    <rPh sb="27" eb="29">
      <t>ホウシャ</t>
    </rPh>
    <rPh sb="29" eb="30">
      <t>リツ</t>
    </rPh>
    <rPh sb="31" eb="32">
      <t>タカ</t>
    </rPh>
    <rPh sb="33" eb="35">
      <t>ヤネ</t>
    </rPh>
    <rPh sb="35" eb="36">
      <t>ザイ</t>
    </rPh>
    <rPh sb="37" eb="39">
      <t>メンセキ</t>
    </rPh>
    <rPh sb="39" eb="40">
      <t>リツ</t>
    </rPh>
    <phoneticPr fontId="4"/>
  </si>
  <si>
    <t>②外壁面積に対する壁面緑化面積率　10％以上</t>
    <rPh sb="3" eb="5">
      <t>メンセキ</t>
    </rPh>
    <rPh sb="6" eb="7">
      <t>タイ</t>
    </rPh>
    <phoneticPr fontId="4"/>
  </si>
  <si>
    <t>日本住宅性能表示基準「3-1劣化対策等級（構造躯体等）」における等級１を満たす。</t>
    <phoneticPr fontId="4"/>
  </si>
  <si>
    <t>日本住宅性能表示基準「3-1劣化対策等級（構造躯体等）」における等級２を満たす。</t>
    <phoneticPr fontId="4"/>
  </si>
  <si>
    <t>日本住宅性能表示基準「3-1劣化対策等級（構造躯体等）」における等級３を満たす</t>
    <phoneticPr fontId="4"/>
  </si>
  <si>
    <t>日本住宅性能表示基準「1-1耐震等級（構造躯体の倒壊等防止）」における等級１を満たす。</t>
    <phoneticPr fontId="4"/>
  </si>
  <si>
    <t>日本住宅性能表示基準「1-1耐震等級（構造躯体の倒壊等防止）」における等級２を満たす。</t>
    <phoneticPr fontId="4"/>
  </si>
  <si>
    <t>日本住宅性能表示基準「1-1耐震等級（構造躯体の倒壊等防止）」における等級３を満たす。</t>
    <phoneticPr fontId="4"/>
  </si>
  <si>
    <t>日本住宅性能表示基準「2-6 耐火等級（延焼のおそれのある部分（開口部以外））」における等級１を満たす。</t>
    <phoneticPr fontId="4"/>
  </si>
  <si>
    <t>日本住宅性能表示基準「2-6 耐火等級（延焼のおそれのある部分（開口部以外））」における等級２を満たす。</t>
    <phoneticPr fontId="4"/>
  </si>
  <si>
    <t>日本住宅性能表示基準「2-6 耐火等級（延焼のおそれのある部分（開口部以外））」における等級３を満たす。</t>
    <phoneticPr fontId="4"/>
  </si>
  <si>
    <t>日本住宅性能表示基準「2-6 耐火等級（延焼のおそれのある部分（開口部以外））」における等級４を満たす。</t>
    <phoneticPr fontId="4"/>
  </si>
  <si>
    <t>日本住宅性能表示基準「4-1 維持管理対策等級(専用配管)」における等級１を満たす。</t>
    <phoneticPr fontId="4"/>
  </si>
  <si>
    <t>日本住宅性能表示基準「4-1 維持管理対策等級(専用配管)」における等級２を満たす。</t>
    <phoneticPr fontId="4"/>
  </si>
  <si>
    <t>日本住宅性能表示基準「4-1 維持管理対策等級(専用配管)」における等級３を満たす。</t>
    <phoneticPr fontId="4"/>
  </si>
  <si>
    <t>（加点条件を満たせば選択可能）</t>
    <rPh sb="10" eb="12">
      <t>センタク</t>
    </rPh>
    <phoneticPr fontId="4"/>
  </si>
  <si>
    <t>（加点条件を満たせば選択可能）</t>
    <rPh sb="3" eb="5">
      <t>ジョウケン</t>
    </rPh>
    <rPh sb="6" eb="7">
      <t>ミ</t>
    </rPh>
    <rPh sb="10" eb="12">
      <t>センタク</t>
    </rPh>
    <rPh sb="12" eb="14">
      <t>カノウ</t>
    </rPh>
    <phoneticPr fontId="4"/>
  </si>
  <si>
    <t>評価する取組み１を行った上に、取組み２の①～⑤のうちいずれか１つを行っている。
または、評価する取組み２の①～⑤のうち、いずれか４つ以上を行っている。</t>
    <phoneticPr fontId="4"/>
  </si>
  <si>
    <t>野鳥等がエサとすることができる食餌木を植栽すること等に取組んでいる。</t>
    <phoneticPr fontId="4"/>
  </si>
  <si>
    <t>地域の住文化の継承</t>
    <phoneticPr fontId="4"/>
  </si>
  <si>
    <t>エネルギーを管理する仕組みがあり、それにより消費エネルギーの削減が可能である取組みがなされている。</t>
    <phoneticPr fontId="4"/>
  </si>
  <si>
    <t>「木材・木材製品の合法性、持続可能性の証明のためのガイドライン」（林野庁）における「①森林認証制度およびCoC認証制度を活用する方法」、「②業界団体の自主的行動規範による方法」または「③個別事業者の独自の取組による方法」によって合法性、持続可能性が証明された木材を過半に使用している。</t>
    <rPh sb="132" eb="134">
      <t>カハン</t>
    </rPh>
    <phoneticPr fontId="4"/>
  </si>
  <si>
    <t>構造躯体の一部あるいは過半に、既存建築躯体等のリユース材が使用されている。</t>
    <rPh sb="5" eb="7">
      <t>イチブ</t>
    </rPh>
    <rPh sb="11" eb="13">
      <t>カハン</t>
    </rPh>
    <phoneticPr fontId="4"/>
  </si>
  <si>
    <t>構造躯体の一部あるいは過半に、既存建築躯体等のリユース材が使用されている。</t>
    <phoneticPr fontId="4"/>
  </si>
  <si>
    <t>（加点条件をみたせば選択可能）</t>
    <rPh sb="1" eb="3">
      <t>カテン</t>
    </rPh>
    <rPh sb="3" eb="5">
      <t>ジョウケン</t>
    </rPh>
    <rPh sb="10" eb="12">
      <t>センタク</t>
    </rPh>
    <rPh sb="12" eb="14">
      <t>カノウ</t>
    </rPh>
    <phoneticPr fontId="4"/>
  </si>
  <si>
    <t>延面積比率</t>
    <phoneticPr fontId="4"/>
  </si>
  <si>
    <r>
      <t>Q</t>
    </r>
    <r>
      <rPr>
        <b/>
        <vertAlign val="subscript"/>
        <sz val="11"/>
        <rFont val="ＭＳ Ｐゴシック"/>
        <family val="3"/>
        <charset val="128"/>
      </rPr>
      <t>H</t>
    </r>
    <phoneticPr fontId="4"/>
  </si>
  <si>
    <t>すまいの環境品質</t>
    <phoneticPr fontId="4"/>
  </si>
  <si>
    <r>
      <t>Q</t>
    </r>
    <r>
      <rPr>
        <b/>
        <vertAlign val="subscript"/>
        <sz val="10"/>
        <rFont val="ＭＳ Ｐゴシック"/>
        <family val="3"/>
        <charset val="128"/>
      </rPr>
      <t>H</t>
    </r>
    <r>
      <rPr>
        <b/>
        <sz val="10"/>
        <rFont val="ＭＳ Ｐゴシック"/>
        <family val="3"/>
        <charset val="128"/>
      </rPr>
      <t>1</t>
    </r>
    <phoneticPr fontId="4"/>
  </si>
  <si>
    <t>室内環境を快適・健康・安心にする</t>
    <phoneticPr fontId="4"/>
  </si>
  <si>
    <t>1.1</t>
    <phoneticPr fontId="4"/>
  </si>
  <si>
    <t>2.3.1</t>
    <phoneticPr fontId="4"/>
  </si>
  <si>
    <t>燃焼系設備機器やエアコン室外機などの排気・排熱源について、
・隣接する建物の開口部、吸気口およびその周辺においては排気・排熱を排出しない配置。
・排気・排熱が自らの敷地内はもちろん、隣接敷地内の植栽などに影響を与えないよう配置していること。</t>
    <phoneticPr fontId="4"/>
  </si>
  <si>
    <t>地表面被覆材に配慮する
（①又は②に取組んでいること）</t>
    <rPh sb="14" eb="15">
      <t>マタ</t>
    </rPh>
    <phoneticPr fontId="4"/>
  </si>
  <si>
    <t>建築外装材料等に配慮する。
（①または②に取組んでいること）</t>
    <phoneticPr fontId="4"/>
  </si>
  <si>
    <t>延べ面積　＜　５０㎡</t>
    <phoneticPr fontId="4"/>
  </si>
  <si>
    <t>＜入居者数　3人＞</t>
  </si>
  <si>
    <t>リサイクル材の使用</t>
    <phoneticPr fontId="4"/>
  </si>
  <si>
    <t>「持続可能な森林から産出された木材」の使用</t>
    <phoneticPr fontId="4"/>
  </si>
  <si>
    <t>利用可能になるまでの期間が短く資源枯渇の恐れが少ない植物由来の自然素材の使用</t>
    <phoneticPr fontId="4"/>
  </si>
  <si>
    <t>・ 窯業廃土、廃ガラス等から製造した舗装用ブロックの通路、駐車場への使用
・ 木粉と熱可塑性樹脂から製造した人工木材を利用した屋外デッキ設置
・ その他、廃棄物や他産業の副産物を利用した外構材の使用</t>
    <phoneticPr fontId="4"/>
  </si>
  <si>
    <t>・ 「持続可能な森林から産出された木材」を利用した屋外デッキの設置
・ その他、「持続可能な森林から産出された木材」の外構への応用</t>
    <phoneticPr fontId="4"/>
  </si>
  <si>
    <t>・ 竹製品の使用
・ その他、利用可能になるまでの期間が短く資源枯渇の恐れが少ない植物由来の自然素材の外構への応用</t>
    <phoneticPr fontId="4"/>
  </si>
  <si>
    <t>レベル4を満たさない。</t>
    <phoneticPr fontId="4"/>
  </si>
  <si>
    <t>住まい手に対して、住宅に使用されている材料のリサイクルや廃棄に対する何らかの情報提供を行っている。</t>
    <phoneticPr fontId="4"/>
  </si>
  <si>
    <t>取組み</t>
    <phoneticPr fontId="4"/>
  </si>
  <si>
    <t>○</t>
  </si>
  <si>
    <t>地域インフラの負荷抑制</t>
    <phoneticPr fontId="4"/>
  </si>
  <si>
    <t>既存の自然環境・自然資源の保全について全く配慮がされていない。</t>
    <phoneticPr fontId="4"/>
  </si>
  <si>
    <t>雨水排水負荷の抑制</t>
    <phoneticPr fontId="4"/>
  </si>
  <si>
    <t>生活ごみ処理負荷の抑制</t>
    <phoneticPr fontId="4"/>
  </si>
  <si>
    <t>外構部への降雨を浸透させるため、外構面積の過半を植栽地（池を含む）や透水性舗装など透水性を有する仕上げとしている。</t>
  </si>
  <si>
    <t>屋根への降雨を浸透させるため、雨水地下浸透施設（浸透ます、浸透トレンチ等）を設置している。</t>
  </si>
  <si>
    <t>雨水貯留・利用設備を設置している。</t>
  </si>
  <si>
    <t>生ごみの排出量を削減するため、生ごみ処理設備を設置している</t>
  </si>
  <si>
    <t>住宅内あるいは外構部に分別ストックスペースを設置している。</t>
  </si>
  <si>
    <t>排出率</t>
    <rPh sb="0" eb="2">
      <t>ハイシュツ</t>
    </rPh>
    <rPh sb="2" eb="3">
      <t>リツ</t>
    </rPh>
    <phoneticPr fontId="4"/>
  </si>
  <si>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4"/>
  </si>
  <si>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4"/>
  </si>
  <si>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4"/>
  </si>
  <si>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4"/>
  </si>
  <si>
    <t>周辺環境への配慮</t>
    <rPh sb="0" eb="2">
      <t>シュウヘン</t>
    </rPh>
    <rPh sb="2" eb="4">
      <t>カンキョウ</t>
    </rPh>
    <rPh sb="6" eb="8">
      <t>ハイリョ</t>
    </rPh>
    <phoneticPr fontId="4"/>
  </si>
  <si>
    <r>
      <t>Q</t>
    </r>
    <r>
      <rPr>
        <b/>
        <vertAlign val="subscript"/>
        <sz val="11"/>
        <rFont val="ＭＳ Ｐゴシック"/>
        <family val="3"/>
        <charset val="128"/>
      </rPr>
      <t>H</t>
    </r>
    <r>
      <rPr>
        <b/>
        <sz val="11"/>
        <rFont val="ＭＳ Ｐゴシック"/>
        <family val="3"/>
        <charset val="128"/>
      </rPr>
      <t>1</t>
    </r>
    <phoneticPr fontId="4"/>
  </si>
  <si>
    <r>
      <t>Q</t>
    </r>
    <r>
      <rPr>
        <b/>
        <vertAlign val="subscript"/>
        <sz val="11"/>
        <rFont val="ＭＳ Ｐゴシック"/>
        <family val="3"/>
        <charset val="128"/>
      </rPr>
      <t>H</t>
    </r>
    <r>
      <rPr>
        <b/>
        <sz val="11"/>
        <rFont val="ＭＳ Ｐゴシック"/>
        <family val="3"/>
        <charset val="128"/>
      </rPr>
      <t>2</t>
    </r>
    <phoneticPr fontId="4"/>
  </si>
  <si>
    <r>
      <t>Q</t>
    </r>
    <r>
      <rPr>
        <b/>
        <vertAlign val="subscript"/>
        <sz val="11"/>
        <rFont val="ＭＳ Ｐゴシック"/>
        <family val="3"/>
        <charset val="128"/>
      </rPr>
      <t>H</t>
    </r>
    <r>
      <rPr>
        <b/>
        <sz val="11"/>
        <rFont val="ＭＳ Ｐゴシック"/>
        <family val="3"/>
        <charset val="128"/>
      </rPr>
      <t>3</t>
    </r>
    <phoneticPr fontId="4"/>
  </si>
  <si>
    <r>
      <t>LR</t>
    </r>
    <r>
      <rPr>
        <b/>
        <vertAlign val="subscript"/>
        <sz val="12"/>
        <color indexed="9"/>
        <rFont val="ＭＳ Ｐゴシック"/>
        <family val="3"/>
        <charset val="128"/>
      </rPr>
      <t>H</t>
    </r>
    <r>
      <rPr>
        <b/>
        <sz val="12"/>
        <color indexed="9"/>
        <rFont val="ＭＳ Ｐゴシック"/>
        <family val="3"/>
        <charset val="128"/>
      </rPr>
      <t>　すまいの環境負荷低減性</t>
    </r>
    <phoneticPr fontId="4"/>
  </si>
  <si>
    <r>
      <t>LR</t>
    </r>
    <r>
      <rPr>
        <b/>
        <vertAlign val="subscript"/>
        <sz val="11"/>
        <rFont val="ＭＳ Ｐゴシック"/>
        <family val="3"/>
        <charset val="128"/>
      </rPr>
      <t>H</t>
    </r>
    <r>
      <rPr>
        <b/>
        <sz val="11"/>
        <rFont val="ＭＳ Ｐゴシック"/>
        <family val="3"/>
        <charset val="128"/>
      </rPr>
      <t>1</t>
    </r>
    <phoneticPr fontId="4"/>
  </si>
  <si>
    <r>
      <t>LR</t>
    </r>
    <r>
      <rPr>
        <b/>
        <vertAlign val="subscript"/>
        <sz val="11"/>
        <rFont val="ＭＳ Ｐゴシック"/>
        <family val="3"/>
        <charset val="128"/>
      </rPr>
      <t>H</t>
    </r>
    <r>
      <rPr>
        <b/>
        <sz val="11"/>
        <rFont val="ＭＳ Ｐゴシック"/>
        <family val="3"/>
        <charset val="128"/>
      </rPr>
      <t>2</t>
    </r>
    <phoneticPr fontId="4"/>
  </si>
  <si>
    <r>
      <t>LR</t>
    </r>
    <r>
      <rPr>
        <b/>
        <vertAlign val="subscript"/>
        <sz val="11"/>
        <rFont val="ＭＳ Ｐゴシック"/>
        <family val="3"/>
        <charset val="128"/>
      </rPr>
      <t>H</t>
    </r>
    <r>
      <rPr>
        <b/>
        <sz val="11"/>
        <rFont val="ＭＳ Ｐゴシック"/>
        <family val="3"/>
        <charset val="128"/>
      </rPr>
      <t>3</t>
    </r>
    <phoneticPr fontId="4"/>
  </si>
  <si>
    <t>地域インフラの負荷抑制</t>
  </si>
  <si>
    <t>既存の自然環境の保全</t>
  </si>
  <si>
    <r>
      <t>Q</t>
    </r>
    <r>
      <rPr>
        <vertAlign val="subscript"/>
        <sz val="10"/>
        <rFont val="ＭＳ Ｐゴシック"/>
        <family val="3"/>
        <charset val="128"/>
      </rPr>
      <t>H</t>
    </r>
    <r>
      <rPr>
        <sz val="10"/>
        <rFont val="ＭＳ Ｐゴシック"/>
        <family val="3"/>
        <charset val="128"/>
      </rPr>
      <t>2</t>
    </r>
    <phoneticPr fontId="4"/>
  </si>
  <si>
    <t>排出係数</t>
    <rPh sb="0" eb="2">
      <t>ハイシュツ</t>
    </rPh>
    <rPh sb="2" eb="4">
      <t>ケイスウ</t>
    </rPh>
    <phoneticPr fontId="4"/>
  </si>
  <si>
    <t>すまいの環境負荷低減性</t>
    <rPh sb="4" eb="6">
      <t>カンキョウ</t>
    </rPh>
    <rPh sb="6" eb="8">
      <t>フカ</t>
    </rPh>
    <rPh sb="8" eb="10">
      <t>テイゲン</t>
    </rPh>
    <rPh sb="10" eb="11">
      <t>セイ</t>
    </rPh>
    <phoneticPr fontId="4"/>
  </si>
  <si>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
      <rPr>
        <sz val="10"/>
        <rFont val="ＭＳ Ｐゴシック"/>
        <family val="3"/>
        <charset val="128"/>
      </rPr>
      <t>）</t>
    </r>
    <rPh sb="8" eb="9">
      <t>ネン</t>
    </rPh>
    <phoneticPr fontId="4"/>
  </si>
  <si>
    <r>
      <t>Q</t>
    </r>
    <r>
      <rPr>
        <vertAlign val="subscript"/>
        <sz val="11"/>
        <rFont val="ＭＳ Ｐゴシック"/>
        <family val="3"/>
        <charset val="128"/>
      </rPr>
      <t>H</t>
    </r>
    <r>
      <rPr>
        <sz val="11"/>
        <rFont val="ＭＳ Ｐゴシック"/>
        <family val="3"/>
        <charset val="128"/>
      </rPr>
      <t>2.2.2管理体制</t>
    </r>
    <rPh sb="7" eb="9">
      <t>カンリ</t>
    </rPh>
    <rPh sb="9" eb="11">
      <t>タイセイ</t>
    </rPh>
    <phoneticPr fontId="4"/>
  </si>
  <si>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4"/>
  </si>
  <si>
    <r>
      <t>■CO</t>
    </r>
    <r>
      <rPr>
        <b/>
        <vertAlign val="subscript"/>
        <sz val="16"/>
        <rFont val="ＭＳ Ｐゴシック"/>
        <family val="3"/>
        <charset val="128"/>
      </rPr>
      <t>2</t>
    </r>
    <r>
      <rPr>
        <b/>
        <sz val="16"/>
        <rFont val="ＭＳ Ｐゴシック"/>
        <family val="3"/>
        <charset val="128"/>
      </rPr>
      <t>データベース</t>
    </r>
    <phoneticPr fontId="4"/>
  </si>
  <si>
    <r>
      <t>Q</t>
    </r>
    <r>
      <rPr>
        <vertAlign val="subscript"/>
        <sz val="11"/>
        <rFont val="ＭＳ Ｐゴシック"/>
        <family val="3"/>
        <charset val="128"/>
      </rPr>
      <t>H</t>
    </r>
    <r>
      <rPr>
        <sz val="11"/>
        <rFont val="ＭＳ Ｐゴシック"/>
        <family val="3"/>
        <charset val="128"/>
      </rPr>
      <t>2.1.1 躯体</t>
    </r>
    <rPh sb="8" eb="10">
      <t>クタイ</t>
    </rPh>
    <phoneticPr fontId="4"/>
  </si>
  <si>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4"/>
  </si>
  <si>
    <r>
      <t>Q</t>
    </r>
    <r>
      <rPr>
        <vertAlign val="subscript"/>
        <sz val="11"/>
        <rFont val="ＭＳ Ｐゴシック"/>
        <family val="3"/>
        <charset val="128"/>
      </rPr>
      <t>H</t>
    </r>
    <r>
      <rPr>
        <sz val="11"/>
        <rFont val="ＭＳ Ｐゴシック"/>
        <family val="3"/>
        <charset val="128"/>
      </rPr>
      <t>2.1.2　外壁
Q</t>
    </r>
    <r>
      <rPr>
        <vertAlign val="subscript"/>
        <sz val="11"/>
        <rFont val="ＭＳ Ｐゴシック"/>
        <family val="3"/>
        <charset val="128"/>
      </rPr>
      <t>H</t>
    </r>
    <r>
      <rPr>
        <sz val="11"/>
        <rFont val="ＭＳ Ｐゴシック"/>
        <family val="3"/>
        <charset val="128"/>
      </rPr>
      <t>2.1.2　屋根</t>
    </r>
    <rPh sb="8" eb="10">
      <t>ガイヘキ</t>
    </rPh>
    <rPh sb="19" eb="21">
      <t>ヤネ</t>
    </rPh>
    <phoneticPr fontId="4"/>
  </si>
  <si>
    <t>ＩＨクッキングヒータ－　（こんろ口数の１／２以上がＩＨ加熱方式のもの）</t>
    <phoneticPr fontId="4"/>
  </si>
  <si>
    <t>取組み</t>
    <phoneticPr fontId="4"/>
  </si>
  <si>
    <t>散水等に利用する雨水タンクを設置している。</t>
    <phoneticPr fontId="4"/>
  </si>
  <si>
    <t>設備毎の取扱説明書が居住者に手渡されている。</t>
    <phoneticPr fontId="4"/>
  </si>
  <si>
    <t>レベル３に加え、省エネに関する住まい方について一般的な説明がすまい手になされている。</t>
    <phoneticPr fontId="4"/>
  </si>
  <si>
    <t>レベル３に加え、当該住宅に採用された設備や仕様に関して、個別の建物・生活スタイルごとに対応した適切な説明がすまい手になされている。</t>
    <phoneticPr fontId="4"/>
  </si>
  <si>
    <t>エネルギー消費に関する表示機器、負荷低減装置等を採用している。</t>
    <phoneticPr fontId="4"/>
  </si>
  <si>
    <t>想定に基づく評価</t>
    <rPh sb="0" eb="2">
      <t>ソウテイ</t>
    </rPh>
    <rPh sb="3" eb="4">
      <t>モト</t>
    </rPh>
    <rPh sb="6" eb="8">
      <t>ヒョウカ</t>
    </rPh>
    <phoneticPr fontId="4"/>
  </si>
  <si>
    <t>資源を大切に使い
ゴミを減らす</t>
    <rPh sb="0" eb="2">
      <t>シゲン</t>
    </rPh>
    <rPh sb="3" eb="5">
      <t>タイセツ</t>
    </rPh>
    <rPh sb="6" eb="7">
      <t>ツカ</t>
    </rPh>
    <rPh sb="12" eb="13">
      <t>ヘ</t>
    </rPh>
    <phoneticPr fontId="4"/>
  </si>
  <si>
    <r>
      <t xml:space="preserve">■ </t>
    </r>
    <r>
      <rPr>
        <sz val="10"/>
        <rFont val="ＭＳ Ｐゴシック"/>
        <family val="3"/>
        <charset val="128"/>
      </rPr>
      <t>評価の実施日</t>
    </r>
    <rPh sb="2" eb="4">
      <t>ヒョウカ</t>
    </rPh>
    <rPh sb="5" eb="7">
      <t>ジッシ</t>
    </rPh>
    <rPh sb="7" eb="8">
      <t>ヒ</t>
    </rPh>
    <phoneticPr fontId="4"/>
  </si>
  <si>
    <t>室内環境を
快適・健康・
安心にする</t>
    <rPh sb="0" eb="2">
      <t>シツナイ</t>
    </rPh>
    <rPh sb="2" eb="4">
      <t>カンキョウ</t>
    </rPh>
    <rPh sb="6" eb="8">
      <t>カイテキ</t>
    </rPh>
    <rPh sb="9" eb="11">
      <t>ケンコウ</t>
    </rPh>
    <rPh sb="13" eb="15">
      <t>アンシン</t>
    </rPh>
    <phoneticPr fontId="4"/>
  </si>
  <si>
    <t>定期点検及び維持・補修・交換が適正時期に提供できる仕組みがある。</t>
    <phoneticPr fontId="4"/>
  </si>
  <si>
    <t>住まい手が適切な維持管理を継続するための、情報提供（マニュアルや定期情報誌など）や相談窓口などのサポートの仕組みがある。</t>
    <phoneticPr fontId="4"/>
  </si>
  <si>
    <t>住宅の基本情報(設計図書、施工記録、仕様部材リスト等)及び建物の維持管理履歴が管理され、何か不具合が生じたときに追跡調査できる。</t>
    <phoneticPr fontId="4"/>
  </si>
  <si>
    <t>適切な換気計画</t>
    <rPh sb="5" eb="7">
      <t>ケイカク</t>
    </rPh>
    <phoneticPr fontId="4"/>
  </si>
  <si>
    <t>地域の資源の活用と住文化の継承</t>
    <rPh sb="6" eb="8">
      <t>カツヨウ</t>
    </rPh>
    <rPh sb="9" eb="10">
      <t>ジュウ</t>
    </rPh>
    <rPh sb="10" eb="12">
      <t>ブンカ</t>
    </rPh>
    <rPh sb="13" eb="15">
      <t>ケイショウ</t>
    </rPh>
    <phoneticPr fontId="4"/>
  </si>
  <si>
    <t>騒音・振動・排気・排熱の低減</t>
    <rPh sb="9" eb="11">
      <t>ハイネツ</t>
    </rPh>
    <rPh sb="12" eb="14">
      <t>テイゲン</t>
    </rPh>
    <phoneticPr fontId="4"/>
  </si>
  <si>
    <t>色欄について、プルダウンメニューから選択、または数値・コメントを記入のこと</t>
  </si>
  <si>
    <t>特に配慮なし。</t>
  </si>
  <si>
    <t>合計(取組み2）＝</t>
    <rPh sb="3" eb="5">
      <t>トリク</t>
    </rPh>
    <phoneticPr fontId="4"/>
  </si>
  <si>
    <t>Score(RoundDown)</t>
    <phoneticPr fontId="4"/>
  </si>
  <si>
    <t>長く使い続ける</t>
    <phoneticPr fontId="4"/>
  </si>
  <si>
    <t>まちなみ・
生態系を
豊かにする</t>
    <phoneticPr fontId="4"/>
  </si>
  <si>
    <t>エネルギー
と水を
大切に使う</t>
    <phoneticPr fontId="4"/>
  </si>
  <si>
    <t>BEE</t>
    <phoneticPr fontId="4"/>
  </si>
  <si>
    <t>X</t>
    <phoneticPr fontId="4"/>
  </si>
  <si>
    <t>S</t>
    <phoneticPr fontId="4"/>
  </si>
  <si>
    <t>A</t>
    <phoneticPr fontId="4"/>
  </si>
  <si>
    <t>B+</t>
    <phoneticPr fontId="4"/>
  </si>
  <si>
    <t>B</t>
    <phoneticPr fontId="4"/>
  </si>
  <si>
    <t>B-</t>
    <phoneticPr fontId="4"/>
  </si>
  <si>
    <t>Score(RoundDown)</t>
    <phoneticPr fontId="4"/>
  </si>
  <si>
    <t>Score</t>
    <phoneticPr fontId="4"/>
  </si>
  <si>
    <t>Q-2 長く使い続ける</t>
    <phoneticPr fontId="4"/>
  </si>
  <si>
    <r>
      <t xml:space="preserve">Q-3 </t>
    </r>
    <r>
      <rPr>
        <sz val="11"/>
        <rFont val="ＭＳ Ｐゴシック"/>
        <family val="3"/>
        <charset val="128"/>
      </rPr>
      <t>まちなみ・生態系を豊かにする</t>
    </r>
    <phoneticPr fontId="4"/>
  </si>
  <si>
    <t>Score(RoundDown)</t>
    <phoneticPr fontId="4"/>
  </si>
  <si>
    <t>NA</t>
    <phoneticPr fontId="4"/>
  </si>
  <si>
    <t>暑さ・寒さ</t>
    <phoneticPr fontId="4"/>
  </si>
  <si>
    <t>健康と安全・安心</t>
    <phoneticPr fontId="4"/>
  </si>
  <si>
    <t>明るさ</t>
    <phoneticPr fontId="4"/>
  </si>
  <si>
    <t>地域の安全・安心</t>
    <phoneticPr fontId="4"/>
  </si>
  <si>
    <t>静かさ</t>
    <phoneticPr fontId="4"/>
  </si>
  <si>
    <t>Score(RoundDown)</t>
    <phoneticPr fontId="4"/>
  </si>
  <si>
    <t>Score</t>
    <phoneticPr fontId="4"/>
  </si>
  <si>
    <r>
      <t>LR-</t>
    </r>
    <r>
      <rPr>
        <sz val="11"/>
        <rFont val="ＭＳ Ｐゴシック"/>
        <family val="3"/>
        <charset val="128"/>
      </rPr>
      <t>1</t>
    </r>
    <r>
      <rPr>
        <sz val="11"/>
        <rFont val="ＭＳ Ｐゴシック"/>
        <family val="3"/>
        <charset val="128"/>
      </rPr>
      <t xml:space="preserve"> エネルギー・水を大切に使う</t>
    </r>
    <phoneticPr fontId="4"/>
  </si>
  <si>
    <t>Score(RoundDown)</t>
    <phoneticPr fontId="4"/>
  </si>
  <si>
    <t>NA</t>
    <phoneticPr fontId="4"/>
  </si>
  <si>
    <t>省資源、廃棄物抑制に役立つ材料の採用</t>
    <phoneticPr fontId="4"/>
  </si>
  <si>
    <t>水の節約</t>
    <phoneticPr fontId="4"/>
  </si>
  <si>
    <t>リサイクルの促進</t>
    <phoneticPr fontId="4"/>
  </si>
  <si>
    <t>維持管理と運用の工夫</t>
    <phoneticPr fontId="4"/>
  </si>
  <si>
    <t>評価の実施日</t>
  </si>
  <si>
    <t>作成者</t>
    <phoneticPr fontId="4"/>
  </si>
  <si>
    <t>採点</t>
  </si>
  <si>
    <t>No.</t>
  </si>
  <si>
    <t>①</t>
  </si>
  <si>
    <t>②</t>
  </si>
  <si>
    <t>③</t>
  </si>
  <si>
    <t>④</t>
  </si>
  <si>
    <t>⑤</t>
  </si>
  <si>
    <t>合計＝</t>
  </si>
  <si>
    <t>レベル２を満たさない。</t>
  </si>
  <si>
    <t>外構面積の20%以上の緑化面積を確保している。</t>
  </si>
  <si>
    <t>外構面積の30%以上の緑化面積を確保している。</t>
  </si>
  <si>
    <t>外構面積の40%以上の緑化面積を確保している。</t>
  </si>
  <si>
    <t>外構面積の50%以上の緑化面積を確保している。</t>
  </si>
  <si>
    <t>取組み</t>
  </si>
  <si>
    <t>より小さな生き物が生息・生育できるよう多孔質な資材を活用している。</t>
  </si>
  <si>
    <t>防火性の高い植物の植樹</t>
  </si>
  <si>
    <t>地域で育まれてきた住宅や庭づくりの構法・意匠・技術を採用している。</t>
  </si>
  <si>
    <t>地域を象徴する庭園等の保全や、地域の住文化を象徴する住宅等建物の保存・復元をしている。</t>
  </si>
  <si>
    <t>住宅の構造材や内外装材、外構資材に地域性のある材料を一部使用している（地域の山林から産出される木材を除く）。</t>
  </si>
  <si>
    <t>住宅の構造躯体に、地域の山林から産出される木材資材を積極的に活用している。</t>
  </si>
  <si>
    <t>住宅の内外装材・外構資材に、積極的に地域の山林から産出される木材資源を活用している。</t>
  </si>
  <si>
    <t>換算スコア＝</t>
    <rPh sb="0" eb="2">
      <t>カンサン</t>
    </rPh>
    <phoneticPr fontId="4"/>
  </si>
  <si>
    <t>プルダウン選択肢</t>
  </si>
  <si>
    <t>はい</t>
  </si>
  <si>
    <t>いいえ</t>
  </si>
  <si>
    <t>ON</t>
  </si>
  <si>
    <t>　レベル　1</t>
  </si>
  <si>
    <t>■レベル　1</t>
  </si>
  <si>
    <t>-</t>
  </si>
  <si>
    <t>レベル</t>
  </si>
  <si>
    <t>構造躯体の全てに「持続可能な森林から産出された木材」が使用されている。</t>
    <rPh sb="5" eb="6">
      <t>スベ</t>
    </rPh>
    <phoneticPr fontId="4"/>
  </si>
  <si>
    <t>騒音・振動・排気・排熱の低減</t>
    <rPh sb="0" eb="2">
      <t>ソウオン</t>
    </rPh>
    <rPh sb="3" eb="5">
      <t>シンドウ</t>
    </rPh>
    <rPh sb="6" eb="8">
      <t>ハイキ</t>
    </rPh>
    <rPh sb="9" eb="11">
      <t>ハイネツ</t>
    </rPh>
    <rPh sb="12" eb="14">
      <t>テイゲン</t>
    </rPh>
    <phoneticPr fontId="4"/>
  </si>
  <si>
    <t>→「電気排出係数」シートを入力</t>
    <rPh sb="2" eb="4">
      <t>デンキ</t>
    </rPh>
    <rPh sb="4" eb="6">
      <t>ハイシュツ</t>
    </rPh>
    <rPh sb="6" eb="8">
      <t>ケイスウ</t>
    </rPh>
    <phoneticPr fontId="4"/>
  </si>
  <si>
    <t>　　　外観パース等</t>
    <rPh sb="3" eb="5">
      <t>ガイカン</t>
    </rPh>
    <rPh sb="8" eb="9">
      <t>トウ</t>
    </rPh>
    <phoneticPr fontId="4"/>
  </si>
  <si>
    <t>②最高得点＝</t>
    <rPh sb="1" eb="3">
      <t>サイコウ</t>
    </rPh>
    <rPh sb="3" eb="5">
      <t>トクテン</t>
    </rPh>
    <phoneticPr fontId="4"/>
  </si>
  <si>
    <t>③得点率（①÷②）=</t>
    <phoneticPr fontId="4"/>
  </si>
  <si>
    <t>リユース材の使用</t>
    <rPh sb="4" eb="5">
      <t>ザイ</t>
    </rPh>
    <rPh sb="6" eb="8">
      <t>シヨウ</t>
    </rPh>
    <phoneticPr fontId="4"/>
  </si>
  <si>
    <t>・ 再利用石材による敷石
・ 古レンガを利用した花壇</t>
    <phoneticPr fontId="4"/>
  </si>
  <si>
    <t>総合</t>
    <rPh sb="0" eb="2">
      <t>ｿｳｺﾞｳ</t>
    </rPh>
    <phoneticPr fontId="18" type="noConversion"/>
  </si>
  <si>
    <t>その他</t>
    <rPh sb="2" eb="3">
      <t>ﾀ</t>
    </rPh>
    <phoneticPr fontId="18" type="noConversion"/>
  </si>
  <si>
    <t>具体的な取組み一覧</t>
    <rPh sb="0" eb="3">
      <t>グタイテキ</t>
    </rPh>
    <rPh sb="4" eb="6">
      <t>トリク</t>
    </rPh>
    <rPh sb="7" eb="9">
      <t>イチラン</t>
    </rPh>
    <phoneticPr fontId="4"/>
  </si>
  <si>
    <t xml:space="preserve">①　建物用途名 </t>
    <rPh sb="2" eb="4">
      <t>タテモノ</t>
    </rPh>
    <rPh sb="4" eb="6">
      <t>ヨウト</t>
    </rPh>
    <rPh sb="6" eb="7">
      <t>メイ</t>
    </rPh>
    <phoneticPr fontId="4"/>
  </si>
  <si>
    <t>構造</t>
    <rPh sb="0" eb="2">
      <t>コウゾウ</t>
    </rPh>
    <phoneticPr fontId="4"/>
  </si>
  <si>
    <t>室内環境を快適・健康・安心にする</t>
    <phoneticPr fontId="4"/>
  </si>
  <si>
    <t>エネルギーと水を大切に使う</t>
    <phoneticPr fontId="4"/>
  </si>
  <si>
    <t>-</t>
    <phoneticPr fontId="4"/>
  </si>
  <si>
    <t>-</t>
    <phoneticPr fontId="4"/>
  </si>
  <si>
    <t>レベル３を満たさない。</t>
    <phoneticPr fontId="4"/>
  </si>
  <si>
    <t>② 仕様等の確定状況</t>
    <rPh sb="2" eb="5">
      <t>シヨウナド</t>
    </rPh>
    <rPh sb="6" eb="8">
      <t>カクテイ</t>
    </rPh>
    <rPh sb="8" eb="10">
      <t>ジョウキョウ</t>
    </rPh>
    <phoneticPr fontId="4"/>
  </si>
  <si>
    <t>居間を含む一体的空間において、適切な冷房計画が行われている。</t>
    <phoneticPr fontId="4"/>
  </si>
  <si>
    <t>すべての居室において、二方向に開口部がある、または一方向開口でも通風・排熱を促進する取組みがなされている。</t>
    <phoneticPr fontId="4"/>
  </si>
  <si>
    <t>居間を含む一体的空間において、適切な暖房計画を行っている。</t>
    <phoneticPr fontId="4"/>
  </si>
  <si>
    <t>-</t>
    <phoneticPr fontId="4"/>
  </si>
  <si>
    <t>-</t>
    <phoneticPr fontId="4"/>
  </si>
  <si>
    <t>-</t>
    <phoneticPr fontId="4"/>
  </si>
  <si>
    <t>-</t>
    <phoneticPr fontId="4"/>
  </si>
  <si>
    <t>-</t>
    <phoneticPr fontId="4"/>
  </si>
  <si>
    <t>-</t>
    <phoneticPr fontId="4"/>
  </si>
  <si>
    <t>-</t>
    <phoneticPr fontId="4"/>
  </si>
  <si>
    <t>＜入居者数　4人＞</t>
    <phoneticPr fontId="4"/>
  </si>
  <si>
    <t>その他</t>
    <rPh sb="2" eb="3">
      <t>タ</t>
    </rPh>
    <phoneticPr fontId="4"/>
  </si>
  <si>
    <t>調整後排出係数</t>
    <rPh sb="0" eb="3">
      <t>チョウセイゴ</t>
    </rPh>
    <rPh sb="3" eb="5">
      <t>ハイシュツ</t>
    </rPh>
    <rPh sb="5" eb="7">
      <t>ケイスウ</t>
    </rPh>
    <phoneticPr fontId="4"/>
  </si>
  <si>
    <t>参照値（参照建物）</t>
    <rPh sb="0" eb="2">
      <t>サンショウ</t>
    </rPh>
    <rPh sb="2" eb="3">
      <t>チ</t>
    </rPh>
    <rPh sb="4" eb="6">
      <t>サンショウ</t>
    </rPh>
    <rPh sb="6" eb="8">
      <t>タテモノ</t>
    </rPh>
    <phoneticPr fontId="4"/>
  </si>
  <si>
    <r>
      <t>kg-CO</t>
    </r>
    <r>
      <rPr>
        <vertAlign val="subscript"/>
        <sz val="10"/>
        <rFont val="ＭＳ Ｐゴシック"/>
        <family val="3"/>
        <charset val="128"/>
      </rPr>
      <t>2</t>
    </r>
    <r>
      <rPr>
        <sz val="10"/>
        <rFont val="ＭＳ Ｐゴシック"/>
        <family val="3"/>
        <charset val="128"/>
      </rPr>
      <t>/年㎡</t>
    </r>
    <rPh sb="7" eb="8">
      <t>ネン</t>
    </rPh>
    <phoneticPr fontId="4"/>
  </si>
  <si>
    <t>運用
段階</t>
    <rPh sb="0" eb="2">
      <t>ウンヨウ</t>
    </rPh>
    <rPh sb="3" eb="5">
      <t>ダンカイ</t>
    </rPh>
    <phoneticPr fontId="4"/>
  </si>
  <si>
    <t xml:space="preserve"> ④上記+
　オフサイト手法</t>
    <phoneticPr fontId="4"/>
  </si>
  <si>
    <t>-</t>
    <phoneticPr fontId="4"/>
  </si>
  <si>
    <t>-</t>
    <phoneticPr fontId="4"/>
  </si>
  <si>
    <t>-</t>
    <phoneticPr fontId="4"/>
  </si>
  <si>
    <t>-</t>
    <phoneticPr fontId="4"/>
  </si>
  <si>
    <t>-</t>
    <phoneticPr fontId="4"/>
  </si>
  <si>
    <t>-</t>
    <phoneticPr fontId="4"/>
  </si>
  <si>
    <t>構造躯体コンクリートに混合セメント（高炉セメント、フライアッシュセメント）またはエコセメントを用いている。（捨てコン、腰壁への使用は評価しない。）</t>
  </si>
  <si>
    <t>-</t>
    <phoneticPr fontId="4"/>
  </si>
  <si>
    <t>取組み大</t>
    <rPh sb="0" eb="2">
      <t>トリク</t>
    </rPh>
    <rPh sb="3" eb="4">
      <t>ダイ</t>
    </rPh>
    <phoneticPr fontId="4"/>
  </si>
  <si>
    <t>取組み小</t>
    <rPh sb="0" eb="2">
      <t>トリク</t>
    </rPh>
    <rPh sb="3" eb="4">
      <t>ショウ</t>
    </rPh>
    <phoneticPr fontId="4"/>
  </si>
  <si>
    <t>取組みなし</t>
    <rPh sb="0" eb="2">
      <t>トリク</t>
    </rPh>
    <phoneticPr fontId="4"/>
  </si>
  <si>
    <t>主要な居室において、適切な暖房計画を行っている。</t>
    <phoneticPr fontId="4"/>
  </si>
  <si>
    <t>配慮項目</t>
    <phoneticPr fontId="4"/>
  </si>
  <si>
    <t>評価ポイント</t>
    <rPh sb="0" eb="2">
      <t>ヒョウカ</t>
    </rPh>
    <phoneticPr fontId="4"/>
  </si>
  <si>
    <t>その他</t>
    <rPh sb="2" eb="3">
      <t>ホカ</t>
    </rPh>
    <phoneticPr fontId="4"/>
  </si>
  <si>
    <t>総合</t>
    <rPh sb="0" eb="2">
      <t>ソウゴウ</t>
    </rPh>
    <phoneticPr fontId="4"/>
  </si>
  <si>
    <r>
      <t xml:space="preserve">■ </t>
    </r>
    <r>
      <rPr>
        <sz val="10"/>
        <rFont val="ＭＳ Ｐゴシック"/>
        <family val="3"/>
        <charset val="128"/>
      </rPr>
      <t>作成者</t>
    </r>
    <rPh sb="2" eb="5">
      <t>サクセイシャ</t>
    </rPh>
    <phoneticPr fontId="4"/>
  </si>
  <si>
    <t>基本設計段階</t>
    <rPh sb="0" eb="2">
      <t>キホン</t>
    </rPh>
    <rPh sb="2" eb="4">
      <t>セッケイ</t>
    </rPh>
    <rPh sb="4" eb="6">
      <t>ダンカイ</t>
    </rPh>
    <phoneticPr fontId="4"/>
  </si>
  <si>
    <t>実施設計段階</t>
    <rPh sb="0" eb="2">
      <t>ジッシ</t>
    </rPh>
    <rPh sb="2" eb="4">
      <t>セッケイ</t>
    </rPh>
    <rPh sb="4" eb="6">
      <t>ダンカイ</t>
    </rPh>
    <phoneticPr fontId="4"/>
  </si>
  <si>
    <t>評価する取組み１～６のうち、２つ以上の手法を採用している。</t>
    <rPh sb="16" eb="18">
      <t>イジョウ</t>
    </rPh>
    <rPh sb="19" eb="21">
      <t>シュホウ</t>
    </rPh>
    <phoneticPr fontId="4"/>
  </si>
  <si>
    <t>評価する取組み１～６のうち、３つ以上の手法を採用している。</t>
    <phoneticPr fontId="4"/>
  </si>
  <si>
    <t>レベル４を満たさない。</t>
    <rPh sb="5" eb="6">
      <t>ミ</t>
    </rPh>
    <phoneticPr fontId="4"/>
  </si>
  <si>
    <t>日本住宅性能表示基準「2-1 感知警報装置設置等級（自住戸火災時）」における等級１を満たす。</t>
    <rPh sb="28" eb="29">
      <t>コ</t>
    </rPh>
    <phoneticPr fontId="4"/>
  </si>
  <si>
    <t>日本住宅性能表示基準「2-1 感知警報装置設置等級（自住戸火災時）」における等級２を満たす。</t>
    <phoneticPr fontId="4"/>
  </si>
  <si>
    <t>日本住宅性能表示基準「2-1 感知警報装置設置等級（自住戸火災時）」における等級３以上を満たす。</t>
    <phoneticPr fontId="4"/>
  </si>
  <si>
    <t>項目名</t>
    <rPh sb="0" eb="2">
      <t>コウモク</t>
    </rPh>
    <rPh sb="2" eb="3">
      <t>メイ</t>
    </rPh>
    <phoneticPr fontId="4"/>
  </si>
  <si>
    <t>病院</t>
  </si>
  <si>
    <t>建築面積</t>
    <rPh sb="0" eb="2">
      <t>ｹﾝﾁｸ</t>
    </rPh>
    <rPh sb="2" eb="4">
      <t>ﾒﾝｾｷ</t>
    </rPh>
    <phoneticPr fontId="18" type="noConversion"/>
  </si>
  <si>
    <t>建物全体</t>
    <rPh sb="0" eb="2">
      <t>タテモノ</t>
    </rPh>
    <rPh sb="2" eb="4">
      <t>ゼンタイ</t>
    </rPh>
    <phoneticPr fontId="4"/>
  </si>
  <si>
    <t>全体・共有</t>
    <rPh sb="0" eb="2">
      <t>ゼンタイ</t>
    </rPh>
    <rPh sb="3" eb="5">
      <t>キョウユウ</t>
    </rPh>
    <phoneticPr fontId="4"/>
  </si>
  <si>
    <t>2.2.1</t>
  </si>
  <si>
    <t>2.2.2</t>
  </si>
  <si>
    <t>SQ</t>
    <phoneticPr fontId="4"/>
  </si>
  <si>
    <t>SLR</t>
    <phoneticPr fontId="4"/>
  </si>
  <si>
    <t>更新回数</t>
    <rPh sb="0" eb="2">
      <t>コウシン</t>
    </rPh>
    <rPh sb="2" eb="4">
      <t>カイスウ</t>
    </rPh>
    <phoneticPr fontId="4"/>
  </si>
  <si>
    <t>更新に伴うCO2排出量</t>
    <rPh sb="0" eb="2">
      <t>コウシン</t>
    </rPh>
    <rPh sb="3" eb="4">
      <t>トモナ</t>
    </rPh>
    <rPh sb="8" eb="10">
      <t>ハイシュツ</t>
    </rPh>
    <rPh sb="10" eb="11">
      <t>リョウ</t>
    </rPh>
    <phoneticPr fontId="4"/>
  </si>
  <si>
    <t>太陽光パネル</t>
    <rPh sb="0" eb="3">
      <t>タイヨウコウ</t>
    </rPh>
    <phoneticPr fontId="4"/>
  </si>
  <si>
    <t>kg-CO2/kg</t>
    <phoneticPr fontId="4"/>
  </si>
  <si>
    <t>太陽熱給湯器</t>
    <rPh sb="0" eb="3">
      <t>タイヨウネツ</t>
    </rPh>
    <rPh sb="3" eb="6">
      <t>キュウトウキ</t>
    </rPh>
    <phoneticPr fontId="4"/>
  </si>
  <si>
    <t>燃料電池</t>
    <rPh sb="0" eb="2">
      <t>ネンリョウ</t>
    </rPh>
    <rPh sb="2" eb="4">
      <t>デンチ</t>
    </rPh>
    <phoneticPr fontId="4"/>
  </si>
  <si>
    <t>エコキュート</t>
    <phoneticPr fontId="4"/>
  </si>
  <si>
    <t>暖房方式</t>
    <rPh sb="0" eb="2">
      <t>ダンボウ</t>
    </rPh>
    <rPh sb="2" eb="4">
      <t>ホウシキ</t>
    </rPh>
    <phoneticPr fontId="4"/>
  </si>
  <si>
    <t>Ｃ</t>
  </si>
  <si>
    <t>冷房方式</t>
    <rPh sb="0" eb="2">
      <t>レイボウ</t>
    </rPh>
    <rPh sb="2" eb="4">
      <t>ホウシキ</t>
    </rPh>
    <phoneticPr fontId="4"/>
  </si>
  <si>
    <t>ａ</t>
  </si>
  <si>
    <t>Ａ</t>
  </si>
  <si>
    <t>Ａ：単位住戸全体を暖房する方式</t>
    <phoneticPr fontId="4"/>
  </si>
  <si>
    <t>Ｂ</t>
  </si>
  <si>
    <t>ｂ</t>
  </si>
  <si>
    <t>Ｂ：居室のみを暖房する方式（連続運転）</t>
    <phoneticPr fontId="4"/>
  </si>
  <si>
    <t>Ｃ：居室のみを暖房する方式（間歇運転）</t>
    <phoneticPr fontId="4"/>
  </si>
  <si>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4"/>
  </si>
  <si>
    <t>設備の方式</t>
  </si>
  <si>
    <t>評価建物</t>
    <rPh sb="0" eb="2">
      <t>ヒョウカ</t>
    </rPh>
    <rPh sb="2" eb="4">
      <t>タテモノ</t>
    </rPh>
    <phoneticPr fontId="4"/>
  </si>
  <si>
    <t>地域区分</t>
  </si>
  <si>
    <t>暖房</t>
  </si>
  <si>
    <t>冷房</t>
  </si>
  <si>
    <t>評価ﾚﾍﾞﾙ</t>
    <phoneticPr fontId="4"/>
  </si>
  <si>
    <t>レベル１</t>
  </si>
  <si>
    <t>一次エネ消費量　MJ/年</t>
    <phoneticPr fontId="4"/>
  </si>
  <si>
    <t>参照建物①</t>
    <rPh sb="0" eb="2">
      <t>サンショウ</t>
    </rPh>
    <rPh sb="2" eb="4">
      <t>タテモノ</t>
    </rPh>
    <phoneticPr fontId="4"/>
  </si>
  <si>
    <t>評価建物②</t>
    <rPh sb="0" eb="2">
      <t>ヒョウカ</t>
    </rPh>
    <rPh sb="2" eb="4">
      <t>タテモノ</t>
    </rPh>
    <phoneticPr fontId="4"/>
  </si>
  <si>
    <r>
      <t>kg-CO</t>
    </r>
    <r>
      <rPr>
        <vertAlign val="subscript"/>
        <sz val="10"/>
        <rFont val="ＭＳ Ｐゴシック"/>
        <family val="3"/>
        <charset val="128"/>
      </rPr>
      <t>2</t>
    </r>
    <r>
      <rPr>
        <sz val="10"/>
        <rFont val="ＭＳ Ｐゴシック"/>
        <family val="3"/>
        <charset val="128"/>
      </rPr>
      <t>/MJ</t>
    </r>
    <phoneticPr fontId="4"/>
  </si>
  <si>
    <t>床面積</t>
    <rPh sb="0" eb="3">
      <t>ユカメンセキ</t>
    </rPh>
    <phoneticPr fontId="4"/>
  </si>
  <si>
    <t>一次エネ消費量</t>
    <rPh sb="0" eb="2">
      <t>イチジ</t>
    </rPh>
    <rPh sb="4" eb="7">
      <t>ショウヒリョウ</t>
    </rPh>
    <phoneticPr fontId="4"/>
  </si>
  <si>
    <r>
      <t>kg-CO</t>
    </r>
    <r>
      <rPr>
        <vertAlign val="subscript"/>
        <sz val="10"/>
        <rFont val="ＭＳ Ｐゴシック"/>
        <family val="3"/>
        <charset val="128"/>
      </rPr>
      <t>2</t>
    </r>
    <r>
      <rPr>
        <sz val="10"/>
        <rFont val="ＭＳ Ｐゴシック"/>
        <family val="3"/>
        <charset val="128"/>
      </rPr>
      <t>/MJ</t>
    </r>
    <phoneticPr fontId="4"/>
  </si>
  <si>
    <t>評価建物③</t>
    <rPh sb="0" eb="2">
      <t>ヒョウカ</t>
    </rPh>
    <rPh sb="2" eb="4">
      <t>タテモノ</t>
    </rPh>
    <phoneticPr fontId="4"/>
  </si>
  <si>
    <t>評　価　ソ　フ　ト</t>
    <rPh sb="0" eb="1">
      <t>ヒョウ</t>
    </rPh>
    <rPh sb="2" eb="3">
      <t>アタイ</t>
    </rPh>
    <phoneticPr fontId="4"/>
  </si>
  <si>
    <t>2-2.　導入設備に係るCO2排出量</t>
    <rPh sb="5" eb="7">
      <t>ドウニュウ</t>
    </rPh>
    <rPh sb="7" eb="9">
      <t>セツビ</t>
    </rPh>
    <rPh sb="10" eb="11">
      <t>カカ</t>
    </rPh>
    <rPh sb="15" eb="17">
      <t>ハイシュツ</t>
    </rPh>
    <rPh sb="17" eb="18">
      <t>リョウ</t>
    </rPh>
    <phoneticPr fontId="4"/>
  </si>
  <si>
    <t>エコキュート</t>
  </si>
  <si>
    <t>kg-CO2/kg</t>
  </si>
  <si>
    <t>年</t>
    <rPh sb="0" eb="1">
      <t>ネン</t>
    </rPh>
    <phoneticPr fontId="4"/>
  </si>
  <si>
    <t>寿命</t>
    <rPh sb="0" eb="2">
      <t>ジュミョウ</t>
    </rPh>
    <phoneticPr fontId="4"/>
  </si>
  <si>
    <t>更新周期</t>
    <rPh sb="0" eb="2">
      <t>コウシン</t>
    </rPh>
    <rPh sb="2" eb="4">
      <t>シュウキ</t>
    </rPh>
    <phoneticPr fontId="4"/>
  </si>
  <si>
    <t>設備の更新周期</t>
    <rPh sb="0" eb="2">
      <t>セツビ</t>
    </rPh>
    <rPh sb="3" eb="5">
      <t>コウシン</t>
    </rPh>
    <rPh sb="5" eb="7">
      <t>シュウキ</t>
    </rPh>
    <phoneticPr fontId="4"/>
  </si>
  <si>
    <t>1-2.　導入設備に係るCO2排出量</t>
    <rPh sb="5" eb="7">
      <t>ドウニュウ</t>
    </rPh>
    <rPh sb="7" eb="9">
      <t>セツビ</t>
    </rPh>
    <rPh sb="10" eb="11">
      <t>カカ</t>
    </rPh>
    <rPh sb="15" eb="17">
      <t>ハイシュツ</t>
    </rPh>
    <rPh sb="17" eb="18">
      <t>リョウ</t>
    </rPh>
    <phoneticPr fontId="4"/>
  </si>
  <si>
    <t>導入重量　kg</t>
    <rPh sb="0" eb="2">
      <t>ドウニュウ</t>
    </rPh>
    <rPh sb="2" eb="4">
      <t>ジュウリョウ</t>
    </rPh>
    <phoneticPr fontId="4"/>
  </si>
  <si>
    <t>CO2原単位　kg-CO2/kg</t>
    <rPh sb="3" eb="6">
      <t>ゲンタンイ</t>
    </rPh>
    <phoneticPr fontId="4"/>
  </si>
  <si>
    <t>kg-CO2</t>
    <phoneticPr fontId="4"/>
  </si>
  <si>
    <t>（A)－（B)</t>
    <phoneticPr fontId="4"/>
  </si>
  <si>
    <t>1-2.　合計の計算</t>
    <rPh sb="5" eb="7">
      <t>ゴウケイ</t>
    </rPh>
    <rPh sb="8" eb="10">
      <t>ケイサン</t>
    </rPh>
    <phoneticPr fontId="4"/>
  </si>
  <si>
    <t>2-2.　合計の計算</t>
    <rPh sb="5" eb="7">
      <t>ゴウケイ</t>
    </rPh>
    <rPh sb="8" eb="10">
      <t>ケイサン</t>
    </rPh>
    <phoneticPr fontId="4"/>
  </si>
  <si>
    <t>評価対象（③）</t>
    <phoneticPr fontId="4"/>
  </si>
  <si>
    <r>
      <t>ライフサイクルCO</t>
    </r>
    <r>
      <rPr>
        <b/>
        <vertAlign val="subscript"/>
        <sz val="12"/>
        <color indexed="9"/>
        <rFont val="ＭＳ Ｐゴシック"/>
        <family val="3"/>
        <charset val="128"/>
      </rPr>
      <t>2</t>
    </r>
    <r>
      <rPr>
        <b/>
        <sz val="12"/>
        <color indexed="9"/>
        <rFont val="ＭＳ Ｐゴシック"/>
        <family val="3"/>
        <charset val="128"/>
      </rPr>
      <t>計算シート（戸建標準計算用）</t>
    </r>
    <rPh sb="10" eb="12">
      <t>ケイサン</t>
    </rPh>
    <rPh sb="16" eb="18">
      <t>コダテ</t>
    </rPh>
    <rPh sb="18" eb="20">
      <t>ヒョウジュン</t>
    </rPh>
    <rPh sb="20" eb="22">
      <t>ケイサン</t>
    </rPh>
    <rPh sb="22" eb="23">
      <t>ヨウ</t>
    </rPh>
    <phoneticPr fontId="4"/>
  </si>
  <si>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4"/>
  </si>
  <si>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4"/>
  </si>
  <si>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4"/>
  </si>
  <si>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4"/>
  </si>
  <si>
    <r>
      <t>3.　居住時のエネルギーに係るCO</t>
    </r>
    <r>
      <rPr>
        <b/>
        <vertAlign val="subscript"/>
        <sz val="11"/>
        <rFont val="ＭＳ Ｐゴシック"/>
        <family val="3"/>
        <charset val="128"/>
      </rPr>
      <t>2</t>
    </r>
    <r>
      <rPr>
        <b/>
        <sz val="11"/>
        <rFont val="ＭＳ Ｐゴシック"/>
        <family val="3"/>
        <charset val="128"/>
      </rPr>
      <t>排出量</t>
    </r>
    <rPh sb="3" eb="5">
      <t>キョジュウ</t>
    </rPh>
    <rPh sb="5" eb="6">
      <t>ジ</t>
    </rPh>
    <rPh sb="13" eb="14">
      <t>カカ</t>
    </rPh>
    <rPh sb="18" eb="20">
      <t>ハイシュツ</t>
    </rPh>
    <rPh sb="20" eb="21">
      <t>リョウ</t>
    </rPh>
    <phoneticPr fontId="4"/>
  </si>
  <si>
    <r>
      <t>4.　ライフサイクルCO</t>
    </r>
    <r>
      <rPr>
        <b/>
        <vertAlign val="subscript"/>
        <sz val="11"/>
        <rFont val="ＭＳ Ｐゴシック"/>
        <family val="3"/>
        <charset val="128"/>
      </rPr>
      <t>2</t>
    </r>
    <r>
      <rPr>
        <b/>
        <sz val="11"/>
        <rFont val="ＭＳ Ｐゴシック"/>
        <family val="3"/>
        <charset val="128"/>
      </rPr>
      <t>の計算</t>
    </r>
    <rPh sb="14" eb="16">
      <t>ケイサン</t>
    </rPh>
    <phoneticPr fontId="4"/>
  </si>
  <si>
    <t>レベル１</t>
    <phoneticPr fontId="4"/>
  </si>
  <si>
    <r>
      <t>1.1.1</t>
    </r>
    <r>
      <rPr>
        <b/>
        <sz val="12"/>
        <rFont val="ＭＳ Ｐゴシック"/>
        <family val="3"/>
        <charset val="128"/>
      </rPr>
      <t>　断熱等性能の確保</t>
    </r>
    <rPh sb="8" eb="9">
      <t>ナド</t>
    </rPh>
    <phoneticPr fontId="4"/>
  </si>
  <si>
    <t>断熱等性能の確保</t>
    <rPh sb="2" eb="3">
      <t>ナド</t>
    </rPh>
    <phoneticPr fontId="4"/>
  </si>
  <si>
    <t>上表における「③上記+②以外のオンサイト手法」の入力値ベースでの計算例</t>
    <rPh sb="0" eb="2">
      <t>ジョウヒョウ</t>
    </rPh>
    <rPh sb="24" eb="26">
      <t>ニュウリョク</t>
    </rPh>
    <rPh sb="26" eb="27">
      <t>チ</t>
    </rPh>
    <rPh sb="32" eb="34">
      <t>ケイサン</t>
    </rPh>
    <rPh sb="34" eb="35">
      <t>レイ</t>
    </rPh>
    <phoneticPr fontId="4"/>
  </si>
  <si>
    <t>上表③の電力消費分（A)</t>
    <rPh sb="0" eb="2">
      <t>ジョウヒョウ</t>
    </rPh>
    <rPh sb="4" eb="6">
      <t>デンリョク</t>
    </rPh>
    <rPh sb="6" eb="8">
      <t>ショウヒ</t>
    </rPh>
    <rPh sb="8" eb="9">
      <t>ブン</t>
    </rPh>
    <phoneticPr fontId="4"/>
  </si>
  <si>
    <t>上表③の参考値</t>
    <rPh sb="0" eb="2">
      <t>ジョウヒョウ</t>
    </rPh>
    <rPh sb="4" eb="6">
      <t>サンコウ</t>
    </rPh>
    <rPh sb="6" eb="7">
      <t>チ</t>
    </rPh>
    <phoneticPr fontId="4"/>
  </si>
  <si>
    <t>太陽光発電等エネルギー総量（③ｵﾝｻｲﾄの取組）</t>
  </si>
  <si>
    <t>ａ ：単位住戸全体を冷房する方式</t>
    <phoneticPr fontId="4"/>
  </si>
  <si>
    <t>ｂ ：居室のみを冷房する方式（間歇運転）</t>
    <phoneticPr fontId="4"/>
  </si>
  <si>
    <t>－：上記以外（不明な場合を含む）</t>
    <rPh sb="2" eb="4">
      <t>ジョウキ</t>
    </rPh>
    <rPh sb="4" eb="6">
      <t>イガイ</t>
    </rPh>
    <rPh sb="7" eb="9">
      <t>フメイ</t>
    </rPh>
    <rPh sb="10" eb="12">
      <t>バアイ</t>
    </rPh>
    <rPh sb="13" eb="14">
      <t>フク</t>
    </rPh>
    <phoneticPr fontId="4"/>
  </si>
  <si>
    <t>「－」の場合</t>
    <phoneticPr fontId="4"/>
  </si>
  <si>
    <t xml:space="preserve"> ■使用評価マニュアル：</t>
    <phoneticPr fontId="4"/>
  </si>
  <si>
    <r>
      <t>2-1</t>
    </r>
    <r>
      <rPr>
        <b/>
        <sz val="12"/>
        <color indexed="9"/>
        <rFont val="ＭＳ Ｐゴシック"/>
        <family val="3"/>
        <charset val="128"/>
      </rPr>
      <t>　戸建の環境効率</t>
    </r>
    <r>
      <rPr>
        <b/>
        <sz val="9"/>
        <color indexed="9"/>
        <rFont val="ＭＳ Ｐゴシック"/>
        <family val="3"/>
        <charset val="128"/>
      </rPr>
      <t>（</t>
    </r>
    <r>
      <rPr>
        <b/>
        <sz val="9"/>
        <color indexed="9"/>
        <rFont val="Arial"/>
        <family val="2"/>
      </rPr>
      <t>BEE</t>
    </r>
    <r>
      <rPr>
        <b/>
        <sz val="9"/>
        <color indexed="9"/>
        <rFont val="ＭＳ Ｐゴシック"/>
        <family val="3"/>
        <charset val="128"/>
      </rPr>
      <t>ランク</t>
    </r>
    <r>
      <rPr>
        <b/>
        <sz val="9"/>
        <color indexed="9"/>
        <rFont val="Arial"/>
        <family val="2"/>
      </rPr>
      <t>&amp;</t>
    </r>
    <r>
      <rPr>
        <b/>
        <sz val="9"/>
        <color indexed="9"/>
        <rFont val="ＭＳ Ｐゴシック"/>
        <family val="3"/>
        <charset val="128"/>
      </rPr>
      <t>チャート）</t>
    </r>
    <rPh sb="4" eb="6">
      <t>こだて</t>
    </rPh>
    <phoneticPr fontId="18" type="noConversion"/>
  </si>
  <si>
    <r>
      <t>Q</t>
    </r>
    <r>
      <rPr>
        <b/>
        <vertAlign val="subscript"/>
        <sz val="14"/>
        <rFont val="Arial"/>
        <family val="2"/>
      </rPr>
      <t>H</t>
    </r>
    <r>
      <rPr>
        <b/>
        <sz val="14"/>
        <rFont val="Arial"/>
        <family val="2"/>
      </rPr>
      <t xml:space="preserve">1 </t>
    </r>
    <r>
      <rPr>
        <b/>
        <sz val="14"/>
        <rFont val="ＭＳ Ｐゴシック"/>
        <family val="3"/>
        <charset val="128"/>
      </rPr>
      <t>室内環境を快適・健康・安心にする</t>
    </r>
    <rPh sb="4" eb="6">
      <t>シツナイ</t>
    </rPh>
    <rPh sb="6" eb="8">
      <t>カンキョウ</t>
    </rPh>
    <rPh sb="9" eb="11">
      <t>カイテキ</t>
    </rPh>
    <rPh sb="12" eb="14">
      <t>ケンコウ</t>
    </rPh>
    <rPh sb="15" eb="17">
      <t>アンシン</t>
    </rPh>
    <phoneticPr fontId="4"/>
  </si>
  <si>
    <r>
      <t>Q</t>
    </r>
    <r>
      <rPr>
        <b/>
        <vertAlign val="subscript"/>
        <sz val="14"/>
        <rFont val="Arial"/>
        <family val="2"/>
      </rPr>
      <t>H</t>
    </r>
    <r>
      <rPr>
        <b/>
        <sz val="14"/>
        <rFont val="Arial"/>
        <family val="2"/>
      </rPr>
      <t>2</t>
    </r>
    <r>
      <rPr>
        <b/>
        <sz val="14"/>
        <rFont val="ＭＳ Ｐゴシック"/>
        <family val="3"/>
        <charset val="128"/>
      </rPr>
      <t>　長く使い続ける</t>
    </r>
    <rPh sb="4" eb="5">
      <t>ナガ</t>
    </rPh>
    <rPh sb="6" eb="7">
      <t>ツカ</t>
    </rPh>
    <rPh sb="8" eb="9">
      <t>ツヅ</t>
    </rPh>
    <phoneticPr fontId="4"/>
  </si>
  <si>
    <r>
      <t>Q</t>
    </r>
    <r>
      <rPr>
        <b/>
        <vertAlign val="subscript"/>
        <sz val="14"/>
        <rFont val="Arial"/>
        <family val="2"/>
      </rPr>
      <t>H</t>
    </r>
    <r>
      <rPr>
        <b/>
        <sz val="14"/>
        <rFont val="Arial"/>
        <family val="2"/>
      </rPr>
      <t xml:space="preserve">3 </t>
    </r>
    <r>
      <rPr>
        <b/>
        <sz val="14"/>
        <rFont val="ＭＳ Ｐゴシック"/>
        <family val="3"/>
        <charset val="128"/>
      </rPr>
      <t>まちなみ・生態系を豊かにする</t>
    </r>
    <phoneticPr fontId="4"/>
  </si>
  <si>
    <r>
      <t>LR</t>
    </r>
    <r>
      <rPr>
        <b/>
        <vertAlign val="subscript"/>
        <sz val="14"/>
        <rFont val="Arial"/>
        <family val="2"/>
      </rPr>
      <t>H</t>
    </r>
    <r>
      <rPr>
        <b/>
        <sz val="14"/>
        <rFont val="Arial"/>
        <family val="2"/>
      </rPr>
      <t>1</t>
    </r>
    <r>
      <rPr>
        <b/>
        <sz val="14"/>
        <rFont val="ＭＳ Ｐゴシック"/>
        <family val="3"/>
        <charset val="128"/>
      </rPr>
      <t>　エネルギーと水を大切に使う</t>
    </r>
    <rPh sb="11" eb="12">
      <t>ミズ</t>
    </rPh>
    <rPh sb="13" eb="15">
      <t>タイセツ</t>
    </rPh>
    <rPh sb="16" eb="17">
      <t>ツカ</t>
    </rPh>
    <phoneticPr fontId="4"/>
  </si>
  <si>
    <r>
      <t>LR</t>
    </r>
    <r>
      <rPr>
        <b/>
        <vertAlign val="subscript"/>
        <sz val="14"/>
        <rFont val="Arial"/>
        <family val="2"/>
      </rPr>
      <t>H</t>
    </r>
    <r>
      <rPr>
        <b/>
        <sz val="14"/>
        <rFont val="Arial"/>
        <family val="2"/>
      </rPr>
      <t>2</t>
    </r>
    <r>
      <rPr>
        <b/>
        <sz val="14"/>
        <rFont val="ＭＳ Ｐゴシック"/>
        <family val="3"/>
        <charset val="128"/>
      </rPr>
      <t>　資源を大切に使いゴミを減らす</t>
    </r>
    <rPh sb="5" eb="7">
      <t>シゲン</t>
    </rPh>
    <rPh sb="8" eb="10">
      <t>タイセツ</t>
    </rPh>
    <rPh sb="11" eb="12">
      <t>ツカ</t>
    </rPh>
    <rPh sb="16" eb="17">
      <t>ヘ</t>
    </rPh>
    <phoneticPr fontId="4"/>
  </si>
  <si>
    <r>
      <t>LR</t>
    </r>
    <r>
      <rPr>
        <b/>
        <vertAlign val="subscript"/>
        <sz val="14"/>
        <rFont val="Arial"/>
        <family val="2"/>
      </rPr>
      <t>H</t>
    </r>
    <r>
      <rPr>
        <b/>
        <sz val="14"/>
        <rFont val="Arial"/>
        <family val="2"/>
      </rPr>
      <t>3</t>
    </r>
    <r>
      <rPr>
        <b/>
        <sz val="14"/>
        <rFont val="ＭＳ Ｐゴシック"/>
        <family val="3"/>
        <charset val="128"/>
      </rPr>
      <t>　地球・地域・周辺環境に配慮する</t>
    </r>
    <rPh sb="5" eb="7">
      <t>チキュウ</t>
    </rPh>
    <rPh sb="8" eb="10">
      <t>チイキ</t>
    </rPh>
    <rPh sb="11" eb="13">
      <t>シュウヘン</t>
    </rPh>
    <rPh sb="13" eb="15">
      <t>カンキョウ</t>
    </rPh>
    <rPh sb="16" eb="18">
      <t>ハイリョ</t>
    </rPh>
    <phoneticPr fontId="4"/>
  </si>
  <si>
    <t>総合的な省エネ</t>
    <phoneticPr fontId="4"/>
  </si>
  <si>
    <t>評価する取組み１～３のうち、何れにも該当しない。</t>
    <phoneticPr fontId="4"/>
  </si>
  <si>
    <t>評価する取組み１～３のうち、何れかに該当している。</t>
    <phoneticPr fontId="4"/>
  </si>
  <si>
    <t>評価する取組み１～３のうち、２つに該当している。</t>
    <phoneticPr fontId="4"/>
  </si>
  <si>
    <t>評価する取組み１～３のうち、３つに該当している。</t>
    <phoneticPr fontId="4"/>
  </si>
  <si>
    <r>
      <t>Q</t>
    </r>
    <r>
      <rPr>
        <vertAlign val="subscript"/>
        <sz val="11"/>
        <rFont val="ＭＳ Ｐゴシック"/>
        <family val="3"/>
        <charset val="128"/>
      </rPr>
      <t>H</t>
    </r>
    <r>
      <rPr>
        <sz val="11"/>
        <rFont val="ＭＳ Ｐゴシック"/>
        <family val="3"/>
        <charset val="128"/>
      </rPr>
      <t>1 室内環境を快適・健康・安心にする</t>
    </r>
    <phoneticPr fontId="4"/>
  </si>
  <si>
    <r>
      <t>Q</t>
    </r>
    <r>
      <rPr>
        <vertAlign val="subscript"/>
        <sz val="11"/>
        <rFont val="ＭＳ Ｐゴシック"/>
        <family val="3"/>
        <charset val="128"/>
      </rPr>
      <t>H</t>
    </r>
    <r>
      <rPr>
        <sz val="11"/>
        <rFont val="ＭＳ Ｐゴシック"/>
        <family val="3"/>
        <charset val="128"/>
      </rPr>
      <t>2 長く使い続ける</t>
    </r>
    <phoneticPr fontId="4"/>
  </si>
  <si>
    <r>
      <t>Q</t>
    </r>
    <r>
      <rPr>
        <vertAlign val="subscript"/>
        <sz val="11"/>
        <rFont val="ＭＳ Ｐゴシック"/>
        <family val="3"/>
        <charset val="128"/>
      </rPr>
      <t>H</t>
    </r>
    <r>
      <rPr>
        <sz val="11"/>
        <rFont val="ＭＳ Ｐゴシック"/>
        <family val="3"/>
        <charset val="128"/>
      </rPr>
      <t>3 まちなみ・生態系を豊かにする</t>
    </r>
    <phoneticPr fontId="4"/>
  </si>
  <si>
    <r>
      <t>LR</t>
    </r>
    <r>
      <rPr>
        <vertAlign val="subscript"/>
        <sz val="11"/>
        <rFont val="ＭＳ Ｐゴシック"/>
        <family val="3"/>
        <charset val="128"/>
      </rPr>
      <t>H</t>
    </r>
    <r>
      <rPr>
        <sz val="11"/>
        <rFont val="ＭＳ Ｐゴシック"/>
        <family val="3"/>
        <charset val="128"/>
      </rPr>
      <t>1 エネルギーと水を大切に使う</t>
    </r>
    <phoneticPr fontId="4"/>
  </si>
  <si>
    <r>
      <t>LR</t>
    </r>
    <r>
      <rPr>
        <vertAlign val="subscript"/>
        <sz val="11"/>
        <rFont val="ＭＳ Ｐゴシック"/>
        <family val="3"/>
        <charset val="128"/>
      </rPr>
      <t>H</t>
    </r>
    <r>
      <rPr>
        <sz val="11"/>
        <rFont val="ＭＳ Ｐゴシック"/>
        <family val="3"/>
        <charset val="128"/>
      </rPr>
      <t>2 資源を大切に使いゴミを減らす</t>
    </r>
    <phoneticPr fontId="4"/>
  </si>
  <si>
    <r>
      <t>LR</t>
    </r>
    <r>
      <rPr>
        <vertAlign val="subscript"/>
        <sz val="11"/>
        <rFont val="ＭＳ Ｐゴシック"/>
        <family val="3"/>
        <charset val="128"/>
      </rPr>
      <t>H</t>
    </r>
    <r>
      <rPr>
        <sz val="11"/>
        <rFont val="ＭＳ Ｐゴシック"/>
        <family val="3"/>
        <charset val="128"/>
      </rPr>
      <t>3 地球・地域・周辺環境に配慮する</t>
    </r>
    <rPh sb="5" eb="7">
      <t>チキュウ</t>
    </rPh>
    <rPh sb="11" eb="13">
      <t>シュウヘン</t>
    </rPh>
    <phoneticPr fontId="4"/>
  </si>
  <si>
    <t>断熱等性能の確保</t>
    <rPh sb="2" eb="3">
      <t>トウ</t>
    </rPh>
    <rPh sb="3" eb="5">
      <t>セイノウ</t>
    </rPh>
    <phoneticPr fontId="4"/>
  </si>
  <si>
    <t>図を貼り付けるときは</t>
    <rPh sb="0" eb="1">
      <t>ズ</t>
    </rPh>
    <rPh sb="2" eb="3">
      <t>ハ</t>
    </rPh>
    <rPh sb="4" eb="5">
      <t>ツ</t>
    </rPh>
    <phoneticPr fontId="4"/>
  </si>
  <si>
    <t>シートの保護を解除してください</t>
    <phoneticPr fontId="4"/>
  </si>
  <si>
    <t>耐用年数が12年未満しか期待されない。</t>
    <phoneticPr fontId="4"/>
  </si>
  <si>
    <t>50～100年の耐用年数が期待される。</t>
    <phoneticPr fontId="4"/>
  </si>
  <si>
    <t>地域で産出される木材
資源の活用</t>
    <phoneticPr fontId="4"/>
  </si>
  <si>
    <t>騒音・振動、排気・排熱の発生源全てにおいて、隣接する住宅等に著しい影響を与えないよう、一般的な配慮を行っている。</t>
    <phoneticPr fontId="4"/>
  </si>
  <si>
    <t>レベル３に加え、騒音・振動、排気・排熱の発生源のいずれか一部において、隣接する住宅等に著しい影響を与えないよう、積極的な配慮がなされている。</t>
    <phoneticPr fontId="4"/>
  </si>
  <si>
    <t>レベル３に加え、騒音・振動、排気・排熱の発生源の全てにおいて、隣接する住宅等に著しい影響を与えないよう、積極的な配慮がなされている。</t>
    <phoneticPr fontId="4"/>
  </si>
  <si>
    <t>「一般的な配慮」の目安
①　騒音・振動対策：騒音・振動の発生源に対しては、騒音値が敷地境界部で45dB(A)以下であること。また、防振のため適切な施工が行われていること。
②　排気・排熱対策：排気・排熱の発生源に対しては、隣接する建物の開口部付近に直接排気しないよう配慮していること。</t>
    <phoneticPr fontId="4"/>
  </si>
  <si>
    <t>MJ/kWhで換算した値（H28建築物省エネ法告示全日平均）</t>
    <rPh sb="7" eb="9">
      <t>カンサン</t>
    </rPh>
    <rPh sb="11" eb="12">
      <t>アタイ</t>
    </rPh>
    <rPh sb="16" eb="19">
      <t>ケンチクブツ</t>
    </rPh>
    <rPh sb="19" eb="20">
      <t>ショウ</t>
    </rPh>
    <rPh sb="22" eb="23">
      <t>ホウ</t>
    </rPh>
    <rPh sb="23" eb="25">
      <t>コクジ</t>
    </rPh>
    <rPh sb="25" eb="26">
      <t>ゼン</t>
    </rPh>
    <rPh sb="26" eb="27">
      <t>ヒ</t>
    </rPh>
    <rPh sb="27" eb="29">
      <t>ヘイキン</t>
    </rPh>
    <phoneticPr fontId="3"/>
  </si>
  <si>
    <t>５０㎡≦　延べ面積　＜　１２５㎡</t>
    <phoneticPr fontId="4"/>
  </si>
  <si>
    <t>１２５㎡≦　延べ面積　</t>
    <phoneticPr fontId="4"/>
  </si>
  <si>
    <t>４０㎡≦　延べ面積　＜　１００㎡</t>
    <phoneticPr fontId="4"/>
  </si>
  <si>
    <t>１００㎡≦　延べ面積</t>
    <phoneticPr fontId="4"/>
  </si>
  <si>
    <t>３０㎡≦　延べ面積　＜　７５㎡</t>
    <phoneticPr fontId="4"/>
  </si>
  <si>
    <t>２５㎡≦　延べ面積　＜　５５㎡</t>
    <phoneticPr fontId="4"/>
  </si>
  <si>
    <t>５５㎡≦　延べ面積</t>
    <phoneticPr fontId="4"/>
  </si>
  <si>
    <r>
      <t>(t-CO</t>
    </r>
    <r>
      <rPr>
        <vertAlign val="subscript"/>
        <sz val="10"/>
        <rFont val="ＭＳ Ｐゴシック"/>
        <family val="3"/>
        <charset val="128"/>
      </rPr>
      <t>2</t>
    </r>
    <r>
      <rPr>
        <sz val="10"/>
        <rFont val="ＭＳ Ｐゴシック"/>
        <family val="3"/>
        <charset val="128"/>
      </rPr>
      <t>/kWh)</t>
    </r>
    <phoneticPr fontId="4"/>
  </si>
  <si>
    <r>
      <t>CO</t>
    </r>
    <r>
      <rPr>
        <vertAlign val="subscript"/>
        <sz val="9"/>
        <rFont val="ＭＳ Ｐゴシック"/>
        <family val="3"/>
        <charset val="128"/>
      </rPr>
      <t>2</t>
    </r>
    <r>
      <rPr>
        <sz val="9"/>
        <rFont val="ＭＳ Ｐゴシック"/>
        <family val="3"/>
        <charset val="128"/>
      </rPr>
      <t>換算値</t>
    </r>
    <rPh sb="3" eb="5">
      <t>カンサン</t>
    </rPh>
    <rPh sb="5" eb="6">
      <t>チ</t>
    </rPh>
    <phoneticPr fontId="4"/>
  </si>
  <si>
    <r>
      <t>kg-CO</t>
    </r>
    <r>
      <rPr>
        <vertAlign val="subscript"/>
        <sz val="10"/>
        <rFont val="ＭＳ Ｐゴシック"/>
        <family val="3"/>
        <charset val="128"/>
      </rPr>
      <t>2</t>
    </r>
    <r>
      <rPr>
        <sz val="10"/>
        <rFont val="ＭＳ Ｐゴシック"/>
        <family val="3"/>
        <charset val="128"/>
      </rPr>
      <t>/kWh）</t>
    </r>
    <phoneticPr fontId="4"/>
  </si>
  <si>
    <r>
      <t>LR</t>
    </r>
    <r>
      <rPr>
        <vertAlign val="subscript"/>
        <sz val="10"/>
        <rFont val="ＭＳ Ｐゴシック"/>
        <family val="3"/>
        <charset val="128"/>
      </rPr>
      <t>H</t>
    </r>
    <r>
      <rPr>
        <sz val="10"/>
        <rFont val="ＭＳ Ｐゴシック"/>
        <family val="3"/>
        <charset val="128"/>
      </rPr>
      <t>1.1.1の</t>
    </r>
    <phoneticPr fontId="4"/>
  </si>
  <si>
    <r>
      <t>MJ/年m</t>
    </r>
    <r>
      <rPr>
        <vertAlign val="superscript"/>
        <sz val="10"/>
        <rFont val="ＭＳ Ｐゴシック"/>
        <family val="3"/>
        <charset val="128"/>
      </rPr>
      <t>2</t>
    </r>
    <rPh sb="3" eb="4">
      <t>ネン</t>
    </rPh>
    <phoneticPr fontId="4"/>
  </si>
  <si>
    <r>
      <t>m</t>
    </r>
    <r>
      <rPr>
        <vertAlign val="superscript"/>
        <sz val="10"/>
        <rFont val="ＭＳ Ｐゴシック"/>
        <family val="3"/>
        <charset val="128"/>
      </rPr>
      <t>2</t>
    </r>
    <phoneticPr fontId="4"/>
  </si>
  <si>
    <r>
      <t>m</t>
    </r>
    <r>
      <rPr>
        <vertAlign val="superscript"/>
        <sz val="10"/>
        <rFont val="ＭＳ Ｐゴシック"/>
        <family val="3"/>
        <charset val="128"/>
      </rPr>
      <t>2</t>
    </r>
    <phoneticPr fontId="4"/>
  </si>
  <si>
    <r>
      <t>水の使用に伴うCO</t>
    </r>
    <r>
      <rPr>
        <vertAlign val="subscript"/>
        <sz val="10"/>
        <rFont val="ＭＳ Ｐゴシック"/>
        <family val="3"/>
        <charset val="128"/>
      </rPr>
      <t>2</t>
    </r>
    <r>
      <rPr>
        <sz val="10"/>
        <rFont val="ＭＳ Ｐゴシック"/>
        <family val="3"/>
        <charset val="128"/>
      </rPr>
      <t>排出量</t>
    </r>
    <rPh sb="0" eb="1">
      <t>ミズ</t>
    </rPh>
    <rPh sb="2" eb="4">
      <t>シヨウ</t>
    </rPh>
    <rPh sb="5" eb="6">
      <t>トモナ</t>
    </rPh>
    <rPh sb="10" eb="12">
      <t>ハイシュツ</t>
    </rPh>
    <rPh sb="12" eb="13">
      <t>リョウ</t>
    </rPh>
    <phoneticPr fontId="4"/>
  </si>
  <si>
    <r>
      <t>CO</t>
    </r>
    <r>
      <rPr>
        <vertAlign val="subscript"/>
        <sz val="10"/>
        <rFont val="ＭＳ Ｐゴシック"/>
        <family val="3"/>
        <charset val="128"/>
      </rPr>
      <t>2</t>
    </r>
    <r>
      <rPr>
        <sz val="10"/>
        <rFont val="ＭＳ Ｐゴシック"/>
        <family val="3"/>
        <charset val="128"/>
      </rPr>
      <t>換算係数</t>
    </r>
    <rPh sb="3" eb="5">
      <t>カンサン</t>
    </rPh>
    <rPh sb="5" eb="7">
      <t>ケイスウ</t>
    </rPh>
    <phoneticPr fontId="4"/>
  </si>
  <si>
    <r>
      <t>LR</t>
    </r>
    <r>
      <rPr>
        <vertAlign val="subscript"/>
        <sz val="10"/>
        <rFont val="ＭＳ Ｐゴシック"/>
        <family val="3"/>
        <charset val="128"/>
      </rPr>
      <t>H</t>
    </r>
    <r>
      <rPr>
        <sz val="10"/>
        <rFont val="ＭＳ Ｐゴシック"/>
        <family val="3"/>
        <charset val="128"/>
      </rPr>
      <t>1.1.1　総合的な省エネ</t>
    </r>
    <phoneticPr fontId="4"/>
  </si>
  <si>
    <r>
      <t>仕様基準でLR</t>
    </r>
    <r>
      <rPr>
        <vertAlign val="subscript"/>
        <sz val="10"/>
        <rFont val="ＭＳ Ｐゴシック"/>
        <family val="3"/>
        <charset val="128"/>
      </rPr>
      <t>H</t>
    </r>
    <r>
      <rPr>
        <sz val="10"/>
        <rFont val="ＭＳ Ｐゴシック"/>
        <family val="3"/>
        <charset val="128"/>
      </rPr>
      <t>1.1.1を評価した場合</t>
    </r>
    <rPh sb="0" eb="2">
      <t>シヨウ</t>
    </rPh>
    <rPh sb="2" eb="4">
      <t>キジュン</t>
    </rPh>
    <rPh sb="14" eb="16">
      <t>ヒョウカ</t>
    </rPh>
    <rPh sb="18" eb="20">
      <t>バアイ</t>
    </rPh>
    <phoneticPr fontId="4"/>
  </si>
  <si>
    <r>
      <t>LR</t>
    </r>
    <r>
      <rPr>
        <vertAlign val="subscript"/>
        <sz val="10"/>
        <rFont val="ＭＳ Ｐゴシック"/>
        <family val="3"/>
        <charset val="128"/>
      </rPr>
      <t>H</t>
    </r>
    <r>
      <rPr>
        <sz val="10"/>
        <rFont val="ＭＳ Ｐゴシック"/>
        <family val="3"/>
        <charset val="128"/>
      </rPr>
      <t>1.2.1　節水型設備</t>
    </r>
    <phoneticPr fontId="4"/>
  </si>
  <si>
    <r>
      <t>居住時のCO</t>
    </r>
    <r>
      <rPr>
        <b/>
        <vertAlign val="subscript"/>
        <sz val="11"/>
        <rFont val="ＭＳ Ｐゴシック"/>
        <family val="3"/>
        <charset val="128"/>
      </rPr>
      <t>2</t>
    </r>
    <r>
      <rPr>
        <b/>
        <sz val="11"/>
        <rFont val="ＭＳ Ｐゴシック"/>
        <family val="3"/>
        <charset val="128"/>
      </rPr>
      <t>計算に用いる電気事業者別CO</t>
    </r>
    <r>
      <rPr>
        <b/>
        <vertAlign val="subscript"/>
        <sz val="11"/>
        <rFont val="ＭＳ Ｐゴシック"/>
        <family val="3"/>
        <charset val="128"/>
      </rPr>
      <t>2</t>
    </r>
    <r>
      <rPr>
        <b/>
        <sz val="11"/>
        <rFont val="ＭＳ Ｐゴシック"/>
        <family val="3"/>
        <charset val="128"/>
      </rPr>
      <t>排出係数</t>
    </r>
    <phoneticPr fontId="4"/>
  </si>
  <si>
    <t>①＋②の場合</t>
    <rPh sb="4" eb="6">
      <t>バアイ</t>
    </rPh>
    <phoneticPr fontId="1"/>
  </si>
  <si>
    <t>①＋③の場合</t>
    <rPh sb="4" eb="6">
      <t>バアイ</t>
    </rPh>
    <phoneticPr fontId="1"/>
  </si>
  <si>
    <t>上記のいずれも採用していない</t>
    <rPh sb="0" eb="2">
      <t>ジョウキ</t>
    </rPh>
    <rPh sb="7" eb="9">
      <t>サイヨウ</t>
    </rPh>
    <phoneticPr fontId="1"/>
  </si>
  <si>
    <t>①＋②の場合</t>
  </si>
  <si>
    <t>削減率</t>
    <rPh sb="0" eb="2">
      <t>サクゲン</t>
    </rPh>
    <rPh sb="2" eb="3">
      <t>リツ</t>
    </rPh>
    <phoneticPr fontId="1"/>
  </si>
  <si>
    <t>削減率</t>
    <rPh sb="0" eb="2">
      <t>サクゲン</t>
    </rPh>
    <rPh sb="2" eb="3">
      <t>リツ</t>
    </rPh>
    <phoneticPr fontId="4"/>
  </si>
  <si>
    <t>U値</t>
    <rPh sb="1" eb="2">
      <t>チ</t>
    </rPh>
    <phoneticPr fontId="1"/>
  </si>
  <si>
    <t>ηAC値</t>
    <rPh sb="3" eb="4">
      <t>チ</t>
    </rPh>
    <phoneticPr fontId="1"/>
  </si>
  <si>
    <t>■構造躯体</t>
    <rPh sb="1" eb="3">
      <t>コウゾウ</t>
    </rPh>
    <rPh sb="3" eb="5">
      <t>クタイ</t>
    </rPh>
    <phoneticPr fontId="1"/>
  </si>
  <si>
    <t>レベル3</t>
  </si>
  <si>
    <t>基準</t>
    <rPh sb="0" eb="2">
      <t>キジュン</t>
    </rPh>
    <phoneticPr fontId="1"/>
  </si>
  <si>
    <t>日本住宅性能表示基準「3-1 劣化対策等級（構造躯体等）」における等級１を満たす。</t>
    <rPh sb="0" eb="2">
      <t>ニホン</t>
    </rPh>
    <rPh sb="2" eb="4">
      <t>ジュウタク</t>
    </rPh>
    <rPh sb="4" eb="6">
      <t>セイノウ</t>
    </rPh>
    <rPh sb="6" eb="8">
      <t>ヒョウジ</t>
    </rPh>
    <rPh sb="8" eb="10">
      <t>キジュン</t>
    </rPh>
    <rPh sb="15" eb="17">
      <t>レッカ</t>
    </rPh>
    <rPh sb="17" eb="19">
      <t>タイサク</t>
    </rPh>
    <rPh sb="19" eb="21">
      <t>トウキュウ</t>
    </rPh>
    <rPh sb="22" eb="24">
      <t>コウゾウ</t>
    </rPh>
    <rPh sb="24" eb="26">
      <t>クタイ</t>
    </rPh>
    <rPh sb="26" eb="27">
      <t>ナド</t>
    </rPh>
    <rPh sb="33" eb="35">
      <t>トウキュウ</t>
    </rPh>
    <rPh sb="37" eb="38">
      <t>ミ</t>
    </rPh>
    <phoneticPr fontId="1"/>
  </si>
  <si>
    <t>日本住宅性能表示基準「3-1 劣化対策等級（構造躯体等）」における等級２を満たす。</t>
    <rPh sb="0" eb="2">
      <t>ニホン</t>
    </rPh>
    <rPh sb="2" eb="4">
      <t>ジュウタク</t>
    </rPh>
    <rPh sb="4" eb="6">
      <t>セイノウ</t>
    </rPh>
    <rPh sb="6" eb="8">
      <t>ヒョウジ</t>
    </rPh>
    <rPh sb="8" eb="10">
      <t>キジュン</t>
    </rPh>
    <rPh sb="15" eb="17">
      <t>レッカ</t>
    </rPh>
    <rPh sb="17" eb="19">
      <t>タイサク</t>
    </rPh>
    <rPh sb="19" eb="21">
      <t>トウキュウ</t>
    </rPh>
    <rPh sb="22" eb="24">
      <t>コウゾウ</t>
    </rPh>
    <rPh sb="24" eb="26">
      <t>クタイ</t>
    </rPh>
    <rPh sb="26" eb="27">
      <t>ナド</t>
    </rPh>
    <rPh sb="33" eb="35">
      <t>トウキュウ</t>
    </rPh>
    <rPh sb="37" eb="38">
      <t>ミ</t>
    </rPh>
    <phoneticPr fontId="1"/>
  </si>
  <si>
    <t>日本住宅性能表示基準「3-1 劣化対策等級（構造躯体等）」における等級３を満たす。</t>
    <rPh sb="0" eb="2">
      <t>ニホン</t>
    </rPh>
    <rPh sb="2" eb="4">
      <t>ジュウタク</t>
    </rPh>
    <rPh sb="4" eb="6">
      <t>セイノウ</t>
    </rPh>
    <rPh sb="6" eb="8">
      <t>ヒョウジ</t>
    </rPh>
    <rPh sb="8" eb="10">
      <t>キジュン</t>
    </rPh>
    <rPh sb="15" eb="17">
      <t>レッカ</t>
    </rPh>
    <rPh sb="17" eb="19">
      <t>タイサク</t>
    </rPh>
    <rPh sb="19" eb="21">
      <t>トウキュウ</t>
    </rPh>
    <rPh sb="22" eb="24">
      <t>コウゾウ</t>
    </rPh>
    <rPh sb="24" eb="26">
      <t>クタイ</t>
    </rPh>
    <rPh sb="26" eb="27">
      <t>ナド</t>
    </rPh>
    <rPh sb="33" eb="35">
      <t>トウキュウ</t>
    </rPh>
    <rPh sb="37" eb="38">
      <t>ミ</t>
    </rPh>
    <phoneticPr fontId="1"/>
  </si>
  <si>
    <t>■外壁材</t>
    <rPh sb="1" eb="3">
      <t>ガイヘキ</t>
    </rPh>
    <rPh sb="3" eb="4">
      <t>ザイ</t>
    </rPh>
    <phoneticPr fontId="1"/>
  </si>
  <si>
    <t>取組み</t>
    <rPh sb="0" eb="2">
      <t>トリクミ</t>
    </rPh>
    <phoneticPr fontId="1"/>
  </si>
  <si>
    <t>長期優良住宅認定を取得している。</t>
    <rPh sb="0" eb="2">
      <t>チョウキ</t>
    </rPh>
    <rPh sb="2" eb="4">
      <t>ユウリョウ</t>
    </rPh>
    <rPh sb="4" eb="6">
      <t>ジュウタク</t>
    </rPh>
    <rPh sb="6" eb="8">
      <t>ニンテイ</t>
    </rPh>
    <rPh sb="9" eb="11">
      <t>シュトク</t>
    </rPh>
    <phoneticPr fontId="1"/>
  </si>
  <si>
    <t>定期点検及び維持・補修・交換が適性時期に提供できる仕組みがある。</t>
    <rPh sb="0" eb="2">
      <t>テイキ</t>
    </rPh>
    <rPh sb="2" eb="4">
      <t>テンケン</t>
    </rPh>
    <rPh sb="4" eb="5">
      <t>オヨ</t>
    </rPh>
    <rPh sb="6" eb="8">
      <t>イジ</t>
    </rPh>
    <rPh sb="9" eb="11">
      <t>ホシュウ</t>
    </rPh>
    <rPh sb="12" eb="14">
      <t>コウカン</t>
    </rPh>
    <rPh sb="15" eb="17">
      <t>テキセイ</t>
    </rPh>
    <rPh sb="17" eb="19">
      <t>ジキ</t>
    </rPh>
    <rPh sb="20" eb="22">
      <t>テイキョウ</t>
    </rPh>
    <rPh sb="25" eb="27">
      <t>シク</t>
    </rPh>
    <phoneticPr fontId="1"/>
  </si>
  <si>
    <t>建築時から将来を見据えて、定期的な点検・補修等に関する計画が施されている。</t>
    <rPh sb="0" eb="2">
      <t>ケンチク</t>
    </rPh>
    <rPh sb="2" eb="3">
      <t>ジ</t>
    </rPh>
    <rPh sb="5" eb="7">
      <t>ショウライ</t>
    </rPh>
    <rPh sb="8" eb="10">
      <t>ミス</t>
    </rPh>
    <rPh sb="13" eb="16">
      <t>テイキテキ</t>
    </rPh>
    <rPh sb="17" eb="19">
      <t>テンケン</t>
    </rPh>
    <rPh sb="20" eb="22">
      <t>ホシュウ</t>
    </rPh>
    <rPh sb="22" eb="23">
      <t>ナド</t>
    </rPh>
    <rPh sb="24" eb="25">
      <t>カン</t>
    </rPh>
    <rPh sb="27" eb="29">
      <t>ケイカク</t>
    </rPh>
    <rPh sb="30" eb="31">
      <t>ホドコ</t>
    </rPh>
    <phoneticPr fontId="1"/>
  </si>
  <si>
    <t>住まい手が適切な維持管理を継続するための、情報提供や相談窓口などのサポートの仕組みがある。</t>
    <rPh sb="0" eb="1">
      <t>ス</t>
    </rPh>
    <rPh sb="3" eb="4">
      <t>テ</t>
    </rPh>
    <rPh sb="5" eb="7">
      <t>テキセツ</t>
    </rPh>
    <rPh sb="8" eb="10">
      <t>イジ</t>
    </rPh>
    <rPh sb="10" eb="12">
      <t>カンリ</t>
    </rPh>
    <rPh sb="13" eb="15">
      <t>ケイゾク</t>
    </rPh>
    <rPh sb="21" eb="23">
      <t>ジョウホウ</t>
    </rPh>
    <rPh sb="23" eb="25">
      <t>テイキョウ</t>
    </rPh>
    <rPh sb="26" eb="28">
      <t>ソウダン</t>
    </rPh>
    <rPh sb="28" eb="30">
      <t>マドグチ</t>
    </rPh>
    <rPh sb="38" eb="40">
      <t>シク</t>
    </rPh>
    <phoneticPr fontId="1"/>
  </si>
  <si>
    <t>住宅の基本情報及び建物の維持管理履歴が管理され、何か不具合が生じたときに追跡調査できる。</t>
    <rPh sb="0" eb="2">
      <t>ジュウタク</t>
    </rPh>
    <rPh sb="3" eb="5">
      <t>キホン</t>
    </rPh>
    <rPh sb="5" eb="7">
      <t>ジョウホウ</t>
    </rPh>
    <rPh sb="7" eb="8">
      <t>オヨ</t>
    </rPh>
    <rPh sb="9" eb="11">
      <t>タテモノ</t>
    </rPh>
    <rPh sb="12" eb="14">
      <t>イジ</t>
    </rPh>
    <rPh sb="14" eb="16">
      <t>カンリ</t>
    </rPh>
    <rPh sb="16" eb="18">
      <t>リレキ</t>
    </rPh>
    <rPh sb="19" eb="21">
      <t>カンリ</t>
    </rPh>
    <rPh sb="24" eb="25">
      <t>ナニ</t>
    </rPh>
    <rPh sb="26" eb="29">
      <t>フグアイ</t>
    </rPh>
    <rPh sb="30" eb="31">
      <t>ショウ</t>
    </rPh>
    <rPh sb="36" eb="38">
      <t>ツイセキ</t>
    </rPh>
    <rPh sb="38" eb="40">
      <t>チョウサ</t>
    </rPh>
    <phoneticPr fontId="1"/>
  </si>
  <si>
    <t>外皮性能</t>
    <rPh sb="0" eb="2">
      <t>ガイヒ</t>
    </rPh>
    <rPh sb="2" eb="4">
      <t>セイノウ</t>
    </rPh>
    <phoneticPr fontId="1"/>
  </si>
  <si>
    <t>一次エネ削減率（再エネ無し）</t>
    <rPh sb="0" eb="2">
      <t>イチジ</t>
    </rPh>
    <rPh sb="4" eb="6">
      <t>サクゲン</t>
    </rPh>
    <rPh sb="6" eb="7">
      <t>リツ</t>
    </rPh>
    <rPh sb="8" eb="9">
      <t>サイ</t>
    </rPh>
    <rPh sb="11" eb="12">
      <t>ナ</t>
    </rPh>
    <phoneticPr fontId="1"/>
  </si>
  <si>
    <t>一次エネ削減率（再エネあり）</t>
    <rPh sb="0" eb="2">
      <t>イチジ</t>
    </rPh>
    <rPh sb="4" eb="6">
      <t>サクゲン</t>
    </rPh>
    <rPh sb="6" eb="7">
      <t>リツ</t>
    </rPh>
    <rPh sb="8" eb="9">
      <t>サイ</t>
    </rPh>
    <phoneticPr fontId="1"/>
  </si>
  <si>
    <t>1）基本情報</t>
    <rPh sb="2" eb="4">
      <t>キホン</t>
    </rPh>
    <rPh sb="4" eb="6">
      <t>ジョウホウ</t>
    </rPh>
    <phoneticPr fontId="4"/>
  </si>
  <si>
    <t>2）計算条件</t>
    <rPh sb="2" eb="4">
      <t>ケイサン</t>
    </rPh>
    <rPh sb="4" eb="6">
      <t>ジョウケン</t>
    </rPh>
    <phoneticPr fontId="4"/>
  </si>
  <si>
    <t>ライフサイクル段階別の条件</t>
    <rPh sb="7" eb="9">
      <t>ダンカイ</t>
    </rPh>
    <rPh sb="9" eb="10">
      <t>ベツ</t>
    </rPh>
    <rPh sb="11" eb="13">
      <t>ジョウケン</t>
    </rPh>
    <phoneticPr fontId="4"/>
  </si>
  <si>
    <t>3)　計算結果</t>
    <rPh sb="3" eb="5">
      <t>ケイサン</t>
    </rPh>
    <rPh sb="5" eb="7">
      <t>ケッカ</t>
    </rPh>
    <phoneticPr fontId="4"/>
  </si>
  <si>
    <t>■Webプログラムの計算結果</t>
    <rPh sb="10" eb="12">
      <t>ケイサン</t>
    </rPh>
    <rPh sb="12" eb="14">
      <t>ケッカ</t>
    </rPh>
    <phoneticPr fontId="1"/>
  </si>
  <si>
    <t>ZEH外皮基準</t>
    <rPh sb="3" eb="5">
      <t>ガイヒ</t>
    </rPh>
    <rPh sb="5" eb="7">
      <t>キジュン</t>
    </rPh>
    <phoneticPr fontId="149"/>
  </si>
  <si>
    <t>地域</t>
    <rPh sb="0" eb="2">
      <t>チイキ</t>
    </rPh>
    <phoneticPr fontId="149"/>
  </si>
  <si>
    <t>UA</t>
    <phoneticPr fontId="149"/>
  </si>
  <si>
    <t>ηAC</t>
    <phoneticPr fontId="149"/>
  </si>
  <si>
    <t>-</t>
    <phoneticPr fontId="149"/>
  </si>
  <si>
    <t>基準値</t>
    <rPh sb="0" eb="3">
      <t>キジュンチ</t>
    </rPh>
    <phoneticPr fontId="4"/>
  </si>
  <si>
    <t>NG</t>
    <phoneticPr fontId="4"/>
  </si>
  <si>
    <t>OK</t>
    <phoneticPr fontId="4"/>
  </si>
  <si>
    <t>ZEH判定</t>
    <rPh sb="3" eb="5">
      <t>ハンテイ</t>
    </rPh>
    <phoneticPr fontId="149"/>
  </si>
  <si>
    <t>判定</t>
    <rPh sb="0" eb="2">
      <t>ハンテイ</t>
    </rPh>
    <phoneticPr fontId="149"/>
  </si>
  <si>
    <t>基準一次（その他除く）</t>
    <rPh sb="0" eb="2">
      <t>キジュン</t>
    </rPh>
    <rPh sb="2" eb="4">
      <t>イチジ</t>
    </rPh>
    <rPh sb="7" eb="8">
      <t>タ</t>
    </rPh>
    <rPh sb="8" eb="9">
      <t>ノゾ</t>
    </rPh>
    <phoneticPr fontId="149"/>
  </si>
  <si>
    <t>Ess</t>
    <phoneticPr fontId="149"/>
  </si>
  <si>
    <t>R</t>
    <phoneticPr fontId="149"/>
  </si>
  <si>
    <t>Stotal÷Ess</t>
    <phoneticPr fontId="149"/>
  </si>
  <si>
    <t>発電量(コジェネ）</t>
    <rPh sb="0" eb="2">
      <t>ハツデン</t>
    </rPh>
    <rPh sb="2" eb="3">
      <t>リョウ</t>
    </rPh>
    <phoneticPr fontId="149"/>
  </si>
  <si>
    <t>Ecgs</t>
    <phoneticPr fontId="149"/>
  </si>
  <si>
    <t>R'</t>
    <phoneticPr fontId="149"/>
  </si>
  <si>
    <t>Ssubtotal÷Ess</t>
    <phoneticPr fontId="149"/>
  </si>
  <si>
    <t>Etotal</t>
    <phoneticPr fontId="149"/>
  </si>
  <si>
    <t>↓</t>
    <phoneticPr fontId="149"/>
  </si>
  <si>
    <t>発電量(太陽光）</t>
    <rPh sb="0" eb="2">
      <t>ハツデン</t>
    </rPh>
    <rPh sb="2" eb="3">
      <t>リョウ</t>
    </rPh>
    <rPh sb="4" eb="7">
      <t>タイヨウコウ</t>
    </rPh>
    <phoneticPr fontId="149"/>
  </si>
  <si>
    <t>EPVC'</t>
    <phoneticPr fontId="149"/>
  </si>
  <si>
    <t>ZEH一次エネ判定</t>
    <rPh sb="3" eb="5">
      <t>イチジ</t>
    </rPh>
    <rPh sb="7" eb="9">
      <t>ハンテイ</t>
    </rPh>
    <phoneticPr fontId="149"/>
  </si>
  <si>
    <t>太陽光除く削減量</t>
    <rPh sb="0" eb="3">
      <t>タイヨウコウ</t>
    </rPh>
    <rPh sb="3" eb="4">
      <t>ノゾ</t>
    </rPh>
    <rPh sb="5" eb="7">
      <t>サクゲン</t>
    </rPh>
    <rPh sb="7" eb="8">
      <t>リョウ</t>
    </rPh>
    <phoneticPr fontId="149"/>
  </si>
  <si>
    <t>Ssubtotal</t>
    <phoneticPr fontId="149"/>
  </si>
  <si>
    <t>一次エネ削減量</t>
    <rPh sb="0" eb="2">
      <t>イチジ</t>
    </rPh>
    <rPh sb="4" eb="6">
      <t>サクゲン</t>
    </rPh>
    <rPh sb="6" eb="7">
      <t>リョウ</t>
    </rPh>
    <phoneticPr fontId="149"/>
  </si>
  <si>
    <t>Stotal</t>
    <phoneticPr fontId="149"/>
  </si>
  <si>
    <t>設計一次(その他PV除く）</t>
    <rPh sb="0" eb="2">
      <t>セッケイ</t>
    </rPh>
    <rPh sb="2" eb="4">
      <t>イチジ</t>
    </rPh>
    <rPh sb="7" eb="8">
      <t>タ</t>
    </rPh>
    <rPh sb="10" eb="11">
      <t>ノゾ</t>
    </rPh>
    <phoneticPr fontId="149"/>
  </si>
  <si>
    <t>計画供用期間</t>
    <rPh sb="0" eb="2">
      <t>ケイカク</t>
    </rPh>
    <rPh sb="2" eb="4">
      <t>キョウヨウ</t>
    </rPh>
    <rPh sb="4" eb="6">
      <t>キカン</t>
    </rPh>
    <phoneticPr fontId="149"/>
  </si>
  <si>
    <t>供用期間</t>
    <rPh sb="0" eb="2">
      <t>キョウヨウ</t>
    </rPh>
    <rPh sb="2" eb="4">
      <t>キカン</t>
    </rPh>
    <phoneticPr fontId="4"/>
  </si>
  <si>
    <t>代替値</t>
    <rPh sb="0" eb="2">
      <t>ダイタイ</t>
    </rPh>
    <rPh sb="2" eb="3">
      <t>アタイ</t>
    </rPh>
    <phoneticPr fontId="1"/>
  </si>
  <si>
    <t>発電量</t>
    <rPh sb="0" eb="2">
      <t>ハツデン</t>
    </rPh>
    <rPh sb="2" eb="3">
      <t>リョウ</t>
    </rPh>
    <phoneticPr fontId="4"/>
  </si>
  <si>
    <t>PBT</t>
    <phoneticPr fontId="4"/>
  </si>
  <si>
    <t>1-3.　合計の計算</t>
    <rPh sb="5" eb="7">
      <t>ゴウケイ</t>
    </rPh>
    <rPh sb="8" eb="10">
      <t>ケイサン</t>
    </rPh>
    <phoneticPr fontId="4"/>
  </si>
  <si>
    <t>躯体　　　　　　木質系</t>
    <rPh sb="8" eb="10">
      <t>モクシツ</t>
    </rPh>
    <rPh sb="10" eb="11">
      <t>ケイ</t>
    </rPh>
    <phoneticPr fontId="4"/>
  </si>
  <si>
    <t>0項目</t>
    <rPh sb="1" eb="3">
      <t>コウモク</t>
    </rPh>
    <phoneticPr fontId="4"/>
  </si>
  <si>
    <t>1項目</t>
    <rPh sb="1" eb="3">
      <t>コウモク</t>
    </rPh>
    <phoneticPr fontId="4"/>
  </si>
  <si>
    <t>項目数</t>
    <rPh sb="0" eb="2">
      <t>コウモク</t>
    </rPh>
    <rPh sb="2" eb="3">
      <t>スウ</t>
    </rPh>
    <phoneticPr fontId="4"/>
  </si>
  <si>
    <t>2項目以上、または長期優良</t>
    <rPh sb="1" eb="3">
      <t>コウモク</t>
    </rPh>
    <rPh sb="3" eb="5">
      <t>イジョウ</t>
    </rPh>
    <rPh sb="9" eb="11">
      <t>チョウキ</t>
    </rPh>
    <rPh sb="11" eb="13">
      <t>ユウリョウ</t>
    </rPh>
    <phoneticPr fontId="4"/>
  </si>
  <si>
    <t>木質系</t>
    <rPh sb="0" eb="2">
      <t>モクシツ</t>
    </rPh>
    <rPh sb="2" eb="3">
      <t>ケイ</t>
    </rPh>
    <phoneticPr fontId="9"/>
  </si>
  <si>
    <t>鉄骨系</t>
    <rPh sb="0" eb="2">
      <t>テッコツ</t>
    </rPh>
    <rPh sb="2" eb="3">
      <t>ケイ</t>
    </rPh>
    <phoneticPr fontId="9"/>
  </si>
  <si>
    <t>コンクリート系</t>
    <rPh sb="6" eb="7">
      <t>ケイ</t>
    </rPh>
    <phoneticPr fontId="9"/>
  </si>
  <si>
    <t>レベル4</t>
  </si>
  <si>
    <t>レベル5</t>
  </si>
  <si>
    <t>再生可能・未活用エネルギー</t>
    <phoneticPr fontId="4"/>
  </si>
  <si>
    <t>　　 ■使用評価ソフト：</t>
    <rPh sb="4" eb="6">
      <t>シヨウ</t>
    </rPh>
    <rPh sb="6" eb="8">
      <t>ヒョウカ</t>
    </rPh>
    <phoneticPr fontId="4"/>
  </si>
  <si>
    <t>延べ面積</t>
    <rPh sb="0" eb="1">
      <t>ノ</t>
    </rPh>
    <rPh sb="2" eb="4">
      <t>メンセキ</t>
    </rPh>
    <phoneticPr fontId="1"/>
  </si>
  <si>
    <r>
      <t>CO</t>
    </r>
    <r>
      <rPr>
        <vertAlign val="subscript"/>
        <sz val="11"/>
        <rFont val="ＭＳ Ｐゴシック"/>
        <family val="3"/>
        <charset val="128"/>
      </rPr>
      <t>2</t>
    </r>
    <r>
      <rPr>
        <sz val="11"/>
        <rFont val="ＭＳ Ｐゴシック"/>
        <family val="3"/>
        <charset val="128"/>
      </rPr>
      <t>削減対策</t>
    </r>
    <rPh sb="3" eb="5">
      <t>サクゲン</t>
    </rPh>
    <rPh sb="5" eb="7">
      <t>タイサク</t>
    </rPh>
    <phoneticPr fontId="1"/>
  </si>
  <si>
    <t>　E.発電量（コージェネレーション）</t>
    <rPh sb="3" eb="5">
      <t>ハツデン</t>
    </rPh>
    <rPh sb="5" eb="6">
      <t>リョウ</t>
    </rPh>
    <phoneticPr fontId="149"/>
  </si>
  <si>
    <t>　A.基準一次エネルギー消費量</t>
    <rPh sb="3" eb="5">
      <t>キジュン</t>
    </rPh>
    <rPh sb="5" eb="7">
      <t>イチジ</t>
    </rPh>
    <rPh sb="12" eb="15">
      <t>ショウヒリョウ</t>
    </rPh>
    <phoneticPr fontId="4"/>
  </si>
  <si>
    <t>　合計</t>
    <rPh sb="1" eb="3">
      <t>ゴウケイ</t>
    </rPh>
    <phoneticPr fontId="1"/>
  </si>
  <si>
    <t>ZEH判定</t>
    <rPh sb="3" eb="5">
      <t>ハンテイ</t>
    </rPh>
    <phoneticPr fontId="1"/>
  </si>
  <si>
    <t>構造の比率</t>
    <rPh sb="0" eb="2">
      <t>コウゾウ</t>
    </rPh>
    <rPh sb="3" eb="5">
      <t>ヒリツ</t>
    </rPh>
    <phoneticPr fontId="1"/>
  </si>
  <si>
    <t>■木質系</t>
    <rPh sb="1" eb="3">
      <t>モクシツ</t>
    </rPh>
    <rPh sb="3" eb="4">
      <t>ケイ</t>
    </rPh>
    <phoneticPr fontId="4"/>
  </si>
  <si>
    <t>■鉄骨系</t>
    <rPh sb="1" eb="3">
      <t>テッコツ</t>
    </rPh>
    <rPh sb="3" eb="4">
      <t>ケイ</t>
    </rPh>
    <phoneticPr fontId="4"/>
  </si>
  <si>
    <t>■コンクリート系</t>
    <rPh sb="7" eb="8">
      <t>ケイ</t>
    </rPh>
    <phoneticPr fontId="4"/>
  </si>
  <si>
    <t>対策No.</t>
    <rPh sb="0" eb="2">
      <t>タイサク</t>
    </rPh>
    <phoneticPr fontId="4"/>
  </si>
  <si>
    <t>対策No.</t>
    <rPh sb="0" eb="2">
      <t>タイサク</t>
    </rPh>
    <phoneticPr fontId="1"/>
  </si>
  <si>
    <t>作成者</t>
  </si>
  <si>
    <t>加点条件</t>
    <rPh sb="0" eb="2">
      <t>カテン</t>
    </rPh>
    <rPh sb="2" eb="4">
      <t>ジョウケン</t>
    </rPh>
    <phoneticPr fontId="4"/>
  </si>
  <si>
    <t>事業者名</t>
    <rPh sb="0" eb="3">
      <t>ジギョウシャ</t>
    </rPh>
    <rPh sb="3" eb="4">
      <t>メイ</t>
    </rPh>
    <phoneticPr fontId="4"/>
  </si>
  <si>
    <t>採点Q2</t>
    <rPh sb="0" eb="2">
      <t>サイテン</t>
    </rPh>
    <phoneticPr fontId="4"/>
  </si>
  <si>
    <t>耐用年数</t>
    <rPh sb="0" eb="2">
      <t>タイヨウ</t>
    </rPh>
    <rPh sb="2" eb="4">
      <t>ネンスウ</t>
    </rPh>
    <phoneticPr fontId="4"/>
  </si>
  <si>
    <t>加点</t>
    <rPh sb="0" eb="2">
      <t>カテン</t>
    </rPh>
    <phoneticPr fontId="4"/>
  </si>
  <si>
    <t>耐用年数が12年未満しか期待されない。</t>
  </si>
  <si>
    <t>12～25年未満の耐用性が期待される。</t>
  </si>
  <si>
    <t>25～50年未満の耐用性が期待される。</t>
  </si>
  <si>
    <t>50～100年の耐用年数が期待される。</t>
  </si>
  <si>
    <t>■屋根材、陸屋根</t>
    <rPh sb="1" eb="3">
      <t>ヤネ</t>
    </rPh>
    <rPh sb="3" eb="4">
      <t>ザイ</t>
    </rPh>
    <rPh sb="5" eb="6">
      <t>リク</t>
    </rPh>
    <rPh sb="6" eb="8">
      <t>ヤネ</t>
    </rPh>
    <phoneticPr fontId="1"/>
  </si>
  <si>
    <t>評価対象の区別</t>
    <rPh sb="0" eb="2">
      <t>ヒョウカ</t>
    </rPh>
    <rPh sb="2" eb="4">
      <t>タイショウ</t>
    </rPh>
    <rPh sb="5" eb="7">
      <t>クベツ</t>
    </rPh>
    <phoneticPr fontId="4"/>
  </si>
  <si>
    <t>屋根材加点</t>
    <rPh sb="0" eb="2">
      <t>ヤネ</t>
    </rPh>
    <rPh sb="2" eb="3">
      <t>ザイ</t>
    </rPh>
    <rPh sb="3" eb="5">
      <t>カテン</t>
    </rPh>
    <phoneticPr fontId="4"/>
  </si>
  <si>
    <t>陸屋根加点</t>
    <rPh sb="0" eb="3">
      <t>リクヤネ</t>
    </rPh>
    <rPh sb="3" eb="5">
      <t>カテン</t>
    </rPh>
    <phoneticPr fontId="4"/>
  </si>
  <si>
    <t>　その１．交換容易性</t>
    <rPh sb="5" eb="7">
      <t>コウカン</t>
    </rPh>
    <rPh sb="7" eb="10">
      <t>ヨウイセイ</t>
    </rPh>
    <phoneticPr fontId="4"/>
  </si>
  <si>
    <t>その１</t>
    <phoneticPr fontId="4"/>
  </si>
  <si>
    <t>屋根材</t>
    <rPh sb="0" eb="2">
      <t>ヤネ</t>
    </rPh>
    <rPh sb="2" eb="3">
      <t>ザイ</t>
    </rPh>
    <phoneticPr fontId="4"/>
  </si>
  <si>
    <t>陸屋根</t>
    <rPh sb="0" eb="3">
      <t>リクヤネ</t>
    </rPh>
    <phoneticPr fontId="4"/>
  </si>
  <si>
    <t>選択</t>
    <rPh sb="0" eb="2">
      <t>センタク</t>
    </rPh>
    <phoneticPr fontId="1"/>
  </si>
  <si>
    <r>
      <t>Q</t>
    </r>
    <r>
      <rPr>
        <vertAlign val="subscript"/>
        <sz val="11"/>
        <rFont val="ＭＳ Ｐゴシック"/>
        <family val="3"/>
        <charset val="128"/>
      </rPr>
      <t>H</t>
    </r>
    <r>
      <rPr>
        <sz val="11"/>
        <rFont val="ＭＳ Ｐゴシック"/>
        <family val="3"/>
        <charset val="128"/>
      </rPr>
      <t>2.2.2 維持管理の計画・体制</t>
    </r>
    <rPh sb="8" eb="10">
      <t>イジ</t>
    </rPh>
    <rPh sb="10" eb="12">
      <t>カンリ</t>
    </rPh>
    <rPh sb="13" eb="15">
      <t>ケイカク</t>
    </rPh>
    <rPh sb="16" eb="18">
      <t>タイセイ</t>
    </rPh>
    <phoneticPr fontId="4"/>
  </si>
  <si>
    <r>
      <t>Q</t>
    </r>
    <r>
      <rPr>
        <vertAlign val="subscript"/>
        <sz val="11"/>
        <rFont val="ＭＳ Ｐゴシック"/>
        <family val="3"/>
        <charset val="128"/>
      </rPr>
      <t>H</t>
    </r>
    <r>
      <rPr>
        <sz val="11"/>
        <rFont val="ＭＳ Ｐゴシック"/>
        <family val="3"/>
        <charset val="128"/>
      </rPr>
      <t>2.1.3 屋根材、陸屋根</t>
    </r>
    <rPh sb="8" eb="10">
      <t>ヤネ</t>
    </rPh>
    <rPh sb="10" eb="11">
      <t>ザイ</t>
    </rPh>
    <rPh sb="12" eb="15">
      <t>リクヤネ</t>
    </rPh>
    <phoneticPr fontId="4"/>
  </si>
  <si>
    <r>
      <t>Q</t>
    </r>
    <r>
      <rPr>
        <vertAlign val="subscript"/>
        <sz val="11"/>
        <rFont val="ＭＳ Ｐゴシック"/>
        <family val="3"/>
        <charset val="128"/>
      </rPr>
      <t>H</t>
    </r>
    <r>
      <rPr>
        <sz val="11"/>
        <rFont val="ＭＳ Ｐゴシック"/>
        <family val="3"/>
        <charset val="128"/>
      </rPr>
      <t>2.1.2 外壁材</t>
    </r>
    <rPh sb="8" eb="10">
      <t>ガイヘキ</t>
    </rPh>
    <rPh sb="10" eb="11">
      <t>ザイ</t>
    </rPh>
    <phoneticPr fontId="4"/>
  </si>
  <si>
    <r>
      <t>3.　居住時のエネルギー・水に係るCO</t>
    </r>
    <r>
      <rPr>
        <b/>
        <vertAlign val="subscript"/>
        <sz val="11"/>
        <rFont val="ＭＳ Ｐゴシック"/>
        <family val="3"/>
        <charset val="128"/>
      </rPr>
      <t>2</t>
    </r>
    <r>
      <rPr>
        <b/>
        <sz val="11"/>
        <rFont val="ＭＳ Ｐゴシック"/>
        <family val="3"/>
        <charset val="128"/>
      </rPr>
      <t>排出量</t>
    </r>
    <rPh sb="3" eb="5">
      <t>キョジュウ</t>
    </rPh>
    <rPh sb="5" eb="6">
      <t>ジ</t>
    </rPh>
    <rPh sb="13" eb="14">
      <t>ミズ</t>
    </rPh>
    <rPh sb="15" eb="16">
      <t>カカ</t>
    </rPh>
    <rPh sb="20" eb="22">
      <t>ハイシュツ</t>
    </rPh>
    <rPh sb="22" eb="23">
      <t>リョウ</t>
    </rPh>
    <phoneticPr fontId="4"/>
  </si>
  <si>
    <t>MJ/年</t>
    <rPh sb="3" eb="4">
      <t>ネン</t>
    </rPh>
    <phoneticPr fontId="1"/>
  </si>
  <si>
    <t>節水トイレを設置している。</t>
    <rPh sb="0" eb="2">
      <t>セッスイ</t>
    </rPh>
    <rPh sb="6" eb="8">
      <t>セッチ</t>
    </rPh>
    <phoneticPr fontId="4"/>
  </si>
  <si>
    <t>節水水栓を設置している。</t>
    <rPh sb="0" eb="2">
      <t>セッスイ</t>
    </rPh>
    <rPh sb="2" eb="4">
      <t>スイセン</t>
    </rPh>
    <rPh sb="5" eb="7">
      <t>セッチ</t>
    </rPh>
    <phoneticPr fontId="4"/>
  </si>
  <si>
    <t>食器用洗浄機を設置している。</t>
    <rPh sb="0" eb="2">
      <t>ショッキ</t>
    </rPh>
    <rPh sb="2" eb="3">
      <t>ヨウ</t>
    </rPh>
    <rPh sb="3" eb="5">
      <t>センジョウ</t>
    </rPh>
    <rPh sb="5" eb="6">
      <t>キ</t>
    </rPh>
    <rPh sb="7" eb="9">
      <t>セッチ</t>
    </rPh>
    <phoneticPr fontId="4"/>
  </si>
  <si>
    <t>2項目</t>
    <rPh sb="1" eb="3">
      <t>コウモク</t>
    </rPh>
    <phoneticPr fontId="4"/>
  </si>
  <si>
    <t>3項目</t>
    <rPh sb="1" eb="3">
      <t>コウモク</t>
    </rPh>
    <phoneticPr fontId="4"/>
  </si>
  <si>
    <t>判定シート</t>
    <rPh sb="0" eb="2">
      <t>ハンテイ</t>
    </rPh>
    <phoneticPr fontId="4"/>
  </si>
  <si>
    <t>計画供用期間</t>
    <rPh sb="0" eb="2">
      <t>ケイカク</t>
    </rPh>
    <rPh sb="2" eb="4">
      <t>キョウヨウ</t>
    </rPh>
    <rPh sb="4" eb="6">
      <t>キカン</t>
    </rPh>
    <phoneticPr fontId="4"/>
  </si>
  <si>
    <t>②　計画供用期間</t>
    <rPh sb="2" eb="4">
      <t>ケイカク</t>
    </rPh>
    <rPh sb="4" eb="6">
      <t>キョウヨウ</t>
    </rPh>
    <rPh sb="6" eb="8">
      <t>キカン</t>
    </rPh>
    <phoneticPr fontId="4"/>
  </si>
  <si>
    <t>　建設</t>
    <rPh sb="1" eb="3">
      <t>ケンセツ</t>
    </rPh>
    <phoneticPr fontId="1"/>
  </si>
  <si>
    <t>　修繕・更新・解体</t>
    <rPh sb="1" eb="3">
      <t>シュウゼン</t>
    </rPh>
    <rPh sb="4" eb="6">
      <t>コウシン</t>
    </rPh>
    <rPh sb="7" eb="9">
      <t>カイタイ</t>
    </rPh>
    <phoneticPr fontId="4"/>
  </si>
  <si>
    <t>　居住</t>
    <rPh sb="1" eb="3">
      <t>キョジュウ</t>
    </rPh>
    <phoneticPr fontId="1"/>
  </si>
  <si>
    <t>　排出率（0％以下で適合）</t>
    <rPh sb="1" eb="3">
      <t>ハイシュツ</t>
    </rPh>
    <rPh sb="3" eb="4">
      <t>リツ</t>
    </rPh>
    <rPh sb="10" eb="12">
      <t>テキゴウ</t>
    </rPh>
    <phoneticPr fontId="4"/>
  </si>
  <si>
    <r>
      <t>LCCO</t>
    </r>
    <r>
      <rPr>
        <b/>
        <vertAlign val="subscript"/>
        <sz val="11"/>
        <rFont val="ＭＳ Ｐゴシック"/>
        <family val="3"/>
        <charset val="128"/>
      </rPr>
      <t>2</t>
    </r>
    <r>
      <rPr>
        <b/>
        <sz val="11"/>
        <rFont val="ＭＳ Ｐゴシック"/>
        <family val="3"/>
        <charset val="128"/>
      </rPr>
      <t>計算結果</t>
    </r>
    <rPh sb="5" eb="7">
      <t>ケイサン</t>
    </rPh>
    <rPh sb="7" eb="9">
      <t>ケッカ</t>
    </rPh>
    <phoneticPr fontId="1"/>
  </si>
  <si>
    <t>適　合</t>
    <rPh sb="0" eb="1">
      <t>テキ</t>
    </rPh>
    <rPh sb="2" eb="3">
      <t>ゴウ</t>
    </rPh>
    <phoneticPr fontId="4"/>
  </si>
  <si>
    <t>不適合</t>
    <rPh sb="0" eb="3">
      <t>フテキゴウ</t>
    </rPh>
    <phoneticPr fontId="4"/>
  </si>
  <si>
    <r>
      <t>kg-CO</t>
    </r>
    <r>
      <rPr>
        <vertAlign val="subscript"/>
        <sz val="10"/>
        <rFont val="ＭＳ Ｐゴシック"/>
        <family val="3"/>
        <charset val="128"/>
      </rPr>
      <t>2</t>
    </r>
    <phoneticPr fontId="4"/>
  </si>
  <si>
    <t>適合判定ツール</t>
    <rPh sb="0" eb="2">
      <t>テキゴウ</t>
    </rPh>
    <rPh sb="2" eb="4">
      <t>ハンテイ</t>
    </rPh>
    <phoneticPr fontId="4"/>
  </si>
  <si>
    <r>
      <t>LCCM住宅部門の基本要件（LCCO</t>
    </r>
    <r>
      <rPr>
        <vertAlign val="subscript"/>
        <sz val="16"/>
        <rFont val="HG丸ｺﾞｼｯｸM-PRO"/>
        <family val="3"/>
        <charset val="128"/>
      </rPr>
      <t>2</t>
    </r>
    <r>
      <rPr>
        <sz val="16"/>
        <rFont val="HG丸ｺﾞｼｯｸM-PRO"/>
        <family val="3"/>
        <charset val="128"/>
      </rPr>
      <t>）</t>
    </r>
    <rPh sb="4" eb="6">
      <t>ジュウタク</t>
    </rPh>
    <rPh sb="6" eb="8">
      <t>ブモン</t>
    </rPh>
    <rPh sb="9" eb="11">
      <t>キホン</t>
    </rPh>
    <rPh sb="11" eb="13">
      <t>ヨウケン</t>
    </rPh>
    <phoneticPr fontId="4"/>
  </si>
  <si>
    <t>構造計</t>
    <rPh sb="0" eb="2">
      <t>コウゾウ</t>
    </rPh>
    <rPh sb="2" eb="3">
      <t>ケイ</t>
    </rPh>
    <phoneticPr fontId="4"/>
  </si>
  <si>
    <t>構造の比率は合計が１になるように入力</t>
    <rPh sb="0" eb="2">
      <t>コウゾウ</t>
    </rPh>
    <rPh sb="3" eb="5">
      <t>ヒリツ</t>
    </rPh>
    <rPh sb="6" eb="8">
      <t>ゴウケイ</t>
    </rPh>
    <rPh sb="16" eb="18">
      <t>ニュウリョク</t>
    </rPh>
    <phoneticPr fontId="4"/>
  </si>
  <si>
    <t>W</t>
    <phoneticPr fontId="4"/>
  </si>
  <si>
    <t>RC</t>
    <phoneticPr fontId="4"/>
  </si>
  <si>
    <t>基礎用コンクリートに高炉セメントB種を使用</t>
    <rPh sb="0" eb="2">
      <t>キソ</t>
    </rPh>
    <rPh sb="2" eb="3">
      <t>ヨウ</t>
    </rPh>
    <rPh sb="10" eb="12">
      <t>コウロ</t>
    </rPh>
    <rPh sb="17" eb="18">
      <t>タネ</t>
    </rPh>
    <rPh sb="19" eb="21">
      <t>シヨウ</t>
    </rPh>
    <phoneticPr fontId="1"/>
  </si>
  <si>
    <r>
      <t>1-2.　導入設備に係るCO</t>
    </r>
    <r>
      <rPr>
        <b/>
        <vertAlign val="subscript"/>
        <sz val="10"/>
        <rFont val="ＭＳ Ｐゴシック"/>
        <family val="3"/>
        <charset val="128"/>
      </rPr>
      <t>2</t>
    </r>
    <r>
      <rPr>
        <b/>
        <sz val="10"/>
        <rFont val="ＭＳ Ｐゴシック"/>
        <family val="3"/>
        <charset val="128"/>
      </rPr>
      <t>排出量</t>
    </r>
    <rPh sb="5" eb="7">
      <t>ドウニュウ</t>
    </rPh>
    <rPh sb="7" eb="9">
      <t>セツビ</t>
    </rPh>
    <rPh sb="10" eb="11">
      <t>カカ</t>
    </rPh>
    <rPh sb="15" eb="17">
      <t>ハイシュツ</t>
    </rPh>
    <rPh sb="17" eb="18">
      <t>リョウ</t>
    </rPh>
    <phoneticPr fontId="4"/>
  </si>
  <si>
    <t>電気排出係数</t>
    <rPh sb="0" eb="2">
      <t>デンキ</t>
    </rPh>
    <rPh sb="2" eb="4">
      <t>ハイシュツ</t>
    </rPh>
    <rPh sb="4" eb="6">
      <t>ケイスウ</t>
    </rPh>
    <phoneticPr fontId="1"/>
  </si>
  <si>
    <t>　その２．劣化低減処置</t>
    <rPh sb="5" eb="7">
      <t>レッカ</t>
    </rPh>
    <rPh sb="7" eb="9">
      <t>テイゲン</t>
    </rPh>
    <rPh sb="9" eb="11">
      <t>ショチ</t>
    </rPh>
    <phoneticPr fontId="4"/>
  </si>
  <si>
    <t xml:space="preserve"> 　計画・体制</t>
    <rPh sb="2" eb="4">
      <t>ケイカク</t>
    </rPh>
    <rPh sb="5" eb="7">
      <t>タイセイ</t>
    </rPh>
    <phoneticPr fontId="4"/>
  </si>
  <si>
    <t>□□工務店</t>
    <rPh sb="2" eb="5">
      <t>コウムテン</t>
    </rPh>
    <phoneticPr fontId="4"/>
  </si>
  <si>
    <t>構造用木材の過半にバイオマス乾燥木材または天然乾燥木材を採用</t>
    <rPh sb="0" eb="3">
      <t>コウゾウヨウ</t>
    </rPh>
    <rPh sb="3" eb="5">
      <t>モクザイ</t>
    </rPh>
    <rPh sb="6" eb="8">
      <t>カハン</t>
    </rPh>
    <rPh sb="14" eb="16">
      <t>カンソウ</t>
    </rPh>
    <rPh sb="16" eb="18">
      <t>モクザイ</t>
    </rPh>
    <rPh sb="21" eb="23">
      <t>テンネン</t>
    </rPh>
    <rPh sb="23" eb="25">
      <t>カンソウ</t>
    </rPh>
    <rPh sb="25" eb="27">
      <t>モクザイ</t>
    </rPh>
    <rPh sb="28" eb="30">
      <t>サイヨウ</t>
    </rPh>
    <phoneticPr fontId="1"/>
  </si>
  <si>
    <t>構造用木材の概ね全てにバイオマス乾燥木材または天然乾燥木材を採用</t>
    <rPh sb="0" eb="3">
      <t>コウゾウヨウ</t>
    </rPh>
    <rPh sb="3" eb="5">
      <t>モクザイ</t>
    </rPh>
    <rPh sb="6" eb="7">
      <t>オオム</t>
    </rPh>
    <rPh sb="8" eb="9">
      <t>スベ</t>
    </rPh>
    <rPh sb="16" eb="18">
      <t>カンソウ</t>
    </rPh>
    <rPh sb="18" eb="20">
      <t>モクザイ</t>
    </rPh>
    <rPh sb="23" eb="25">
      <t>テンネン</t>
    </rPh>
    <rPh sb="25" eb="27">
      <t>カンソウ</t>
    </rPh>
    <rPh sb="27" eb="29">
      <t>モクザイ</t>
    </rPh>
    <rPh sb="30" eb="32">
      <t>サイヨウ</t>
    </rPh>
    <phoneticPr fontId="1"/>
  </si>
  <si>
    <r>
      <t>CO</t>
    </r>
    <r>
      <rPr>
        <vertAlign val="subscript"/>
        <sz val="9"/>
        <rFont val="ＭＳ Ｐゴシック"/>
        <family val="3"/>
        <charset val="128"/>
      </rPr>
      <t>2</t>
    </r>
    <r>
      <rPr>
        <sz val="9"/>
        <rFont val="ＭＳ Ｐゴシック"/>
        <family val="3"/>
        <charset val="128"/>
      </rPr>
      <t>削減対策</t>
    </r>
    <phoneticPr fontId="4"/>
  </si>
  <si>
    <r>
      <t>CO</t>
    </r>
    <r>
      <rPr>
        <vertAlign val="subscript"/>
        <sz val="9"/>
        <rFont val="ＭＳ Ｐゴシック"/>
        <family val="3"/>
        <charset val="128"/>
      </rPr>
      <t>2</t>
    </r>
    <r>
      <rPr>
        <sz val="9"/>
        <rFont val="ＭＳ Ｐゴシック"/>
        <family val="3"/>
        <charset val="128"/>
      </rPr>
      <t>削減率</t>
    </r>
    <r>
      <rPr>
        <vertAlign val="superscript"/>
        <sz val="9"/>
        <rFont val="ＭＳ Ｐゴシック"/>
        <family val="3"/>
        <charset val="128"/>
      </rPr>
      <t>※</t>
    </r>
    <rPh sb="3" eb="5">
      <t>サクゲン</t>
    </rPh>
    <rPh sb="5" eb="6">
      <t>リツ</t>
    </rPh>
    <phoneticPr fontId="4"/>
  </si>
  <si>
    <r>
      <t>※ CO</t>
    </r>
    <r>
      <rPr>
        <vertAlign val="subscript"/>
        <sz val="10"/>
        <rFont val="ＭＳ Ｐゴシック"/>
        <family val="3"/>
        <charset val="128"/>
      </rPr>
      <t>2</t>
    </r>
    <r>
      <rPr>
        <sz val="10"/>
        <rFont val="ＭＳ Ｐゴシック"/>
        <family val="3"/>
        <charset val="128"/>
      </rPr>
      <t>削減率：LR</t>
    </r>
    <r>
      <rPr>
        <vertAlign val="subscript"/>
        <sz val="10"/>
        <rFont val="ＭＳ Ｐゴシック"/>
        <family val="3"/>
        <charset val="128"/>
      </rPr>
      <t>H</t>
    </r>
    <r>
      <rPr>
        <sz val="10"/>
        <rFont val="ＭＳ Ｐゴシック"/>
        <family val="3"/>
        <charset val="128"/>
      </rPr>
      <t>3.1.1 地球温暖化への配慮　加点条件</t>
    </r>
    <rPh sb="5" eb="7">
      <t>サクゲン</t>
    </rPh>
    <rPh sb="7" eb="8">
      <t>リツ</t>
    </rPh>
    <rPh sb="18" eb="20">
      <t>チキュウ</t>
    </rPh>
    <rPh sb="20" eb="23">
      <t>オンダンカ</t>
    </rPh>
    <rPh sb="25" eb="27">
      <t>ハイリョ</t>
    </rPh>
    <rPh sb="28" eb="30">
      <t>カテン</t>
    </rPh>
    <rPh sb="30" eb="32">
      <t>ジョウケン</t>
    </rPh>
    <phoneticPr fontId="4"/>
  </si>
  <si>
    <t>構造の種類</t>
    <rPh sb="0" eb="2">
      <t>コウゾウ</t>
    </rPh>
    <rPh sb="3" eb="5">
      <t>シュルイ</t>
    </rPh>
    <phoneticPr fontId="4"/>
  </si>
  <si>
    <r>
      <t>LR</t>
    </r>
    <r>
      <rPr>
        <vertAlign val="subscript"/>
        <sz val="11"/>
        <rFont val="ＭＳ Ｐゴシック"/>
        <family val="3"/>
        <charset val="128"/>
      </rPr>
      <t>H</t>
    </r>
    <r>
      <rPr>
        <sz val="11"/>
        <rFont val="ＭＳ Ｐゴシック"/>
        <family val="3"/>
        <charset val="128"/>
      </rPr>
      <t>3.1.1 地球温暖化への配慮</t>
    </r>
    <rPh sb="9" eb="11">
      <t>チキュウ</t>
    </rPh>
    <rPh sb="11" eb="14">
      <t>オンダンカ</t>
    </rPh>
    <rPh sb="16" eb="18">
      <t>ハイリョ</t>
    </rPh>
    <phoneticPr fontId="4"/>
  </si>
  <si>
    <t>a</t>
    <phoneticPr fontId="4"/>
  </si>
  <si>
    <t>b</t>
    <phoneticPr fontId="4"/>
  </si>
  <si>
    <t>■節水型設備</t>
    <phoneticPr fontId="4"/>
  </si>
  <si>
    <r>
      <t>LR</t>
    </r>
    <r>
      <rPr>
        <vertAlign val="subscript"/>
        <sz val="11"/>
        <rFont val="ＭＳ Ｐゴシック"/>
        <family val="3"/>
        <charset val="128"/>
      </rPr>
      <t>H</t>
    </r>
    <r>
      <rPr>
        <sz val="11"/>
        <rFont val="ＭＳ Ｐゴシック"/>
        <family val="3"/>
        <charset val="128"/>
      </rPr>
      <t>1.2.1 節水型設備</t>
    </r>
    <rPh sb="9" eb="12">
      <t>セッスイガタ</t>
    </rPh>
    <rPh sb="12" eb="14">
      <t>セツビ</t>
    </rPh>
    <phoneticPr fontId="4"/>
  </si>
  <si>
    <r>
      <t>m</t>
    </r>
    <r>
      <rPr>
        <vertAlign val="superscript"/>
        <sz val="11"/>
        <rFont val="ＭＳ Ｐゴシック"/>
        <family val="3"/>
        <charset val="128"/>
      </rPr>
      <t>2</t>
    </r>
    <phoneticPr fontId="4"/>
  </si>
  <si>
    <t>太陽光設置容量</t>
    <phoneticPr fontId="4"/>
  </si>
  <si>
    <t>kW</t>
    <phoneticPr fontId="4"/>
  </si>
  <si>
    <t>評価の実施日</t>
    <phoneticPr fontId="4"/>
  </si>
  <si>
    <t>□□　□□</t>
    <phoneticPr fontId="4"/>
  </si>
  <si>
    <t>①　住宅としての品質の確保</t>
    <phoneticPr fontId="4"/>
  </si>
  <si>
    <t>レベル４</t>
    <phoneticPr fontId="4"/>
  </si>
  <si>
    <t>レベル５</t>
    <phoneticPr fontId="4"/>
  </si>
  <si>
    <t>③　ライフサイクル段階別の条件</t>
    <phoneticPr fontId="4"/>
  </si>
  <si>
    <t>軽量鉄骨造の場合</t>
    <phoneticPr fontId="4"/>
  </si>
  <si>
    <t>基礎用コンクリートに高炉セメントB種を使用</t>
    <phoneticPr fontId="4"/>
  </si>
  <si>
    <t>①</t>
    <phoneticPr fontId="4"/>
  </si>
  <si>
    <t>上部躯体用コンクリートに高炉セメントB種を使用</t>
    <phoneticPr fontId="4"/>
  </si>
  <si>
    <t>c</t>
    <phoneticPr fontId="4"/>
  </si>
  <si>
    <t>■維持管理の</t>
    <phoneticPr fontId="4"/>
  </si>
  <si>
    <r>
      <t>kg-CO</t>
    </r>
    <r>
      <rPr>
        <vertAlign val="subscript"/>
        <sz val="11"/>
        <rFont val="ＭＳ Ｐゴシック"/>
        <family val="3"/>
        <charset val="128"/>
      </rPr>
      <t>2</t>
    </r>
    <r>
      <rPr>
        <sz val="11"/>
        <rFont val="ＭＳ Ｐゴシック"/>
        <family val="3"/>
        <charset val="128"/>
      </rPr>
      <t>/年m</t>
    </r>
    <r>
      <rPr>
        <vertAlign val="superscript"/>
        <sz val="11"/>
        <rFont val="ＭＳ Ｐゴシック"/>
        <family val="3"/>
        <charset val="128"/>
      </rPr>
      <t>2</t>
    </r>
    <phoneticPr fontId="4"/>
  </si>
  <si>
    <t>a+b+c</t>
    <phoneticPr fontId="4"/>
  </si>
  <si>
    <t>(d1/d2)</t>
    <phoneticPr fontId="4"/>
  </si>
  <si>
    <t>基礎排出係数</t>
    <rPh sb="0" eb="2">
      <t>キソ</t>
    </rPh>
    <phoneticPr fontId="4"/>
  </si>
  <si>
    <r>
      <t>◆CO</t>
    </r>
    <r>
      <rPr>
        <vertAlign val="subscript"/>
        <sz val="10"/>
        <rFont val="ＭＳ Ｐゴシック"/>
        <family val="3"/>
        <charset val="128"/>
      </rPr>
      <t>2</t>
    </r>
    <r>
      <rPr>
        <sz val="10"/>
        <rFont val="ＭＳ Ｐゴシック"/>
        <family val="3"/>
        <charset val="128"/>
      </rPr>
      <t>計算に利用可能な電気の排出係数
(1) 算定省令に基づく電気事業者ごとの基礎排出係数、
     および電気事業者等より公表される調整後排出係数</t>
    </r>
    <rPh sb="40" eb="42">
      <t>キソ</t>
    </rPh>
    <phoneticPr fontId="4"/>
  </si>
  <si>
    <t>　　　</t>
    <phoneticPr fontId="4"/>
  </si>
  <si>
    <r>
      <t>調整後排出係数</t>
    </r>
    <r>
      <rPr>
        <vertAlign val="superscript"/>
        <sz val="10"/>
        <rFont val="ＭＳ Ｐゴシック"/>
        <family val="3"/>
        <charset val="128"/>
      </rPr>
      <t>※</t>
    </r>
    <phoneticPr fontId="4"/>
  </si>
  <si>
    <t>※事業者全体の値</t>
    <phoneticPr fontId="4"/>
  </si>
  <si>
    <t>スコア</t>
    <phoneticPr fontId="4"/>
  </si>
  <si>
    <t>ゴール3</t>
    <phoneticPr fontId="4"/>
  </si>
  <si>
    <t>ゴール4</t>
  </si>
  <si>
    <t>ゴール5</t>
  </si>
  <si>
    <t>ゴール6</t>
  </si>
  <si>
    <t>SDGsRank</t>
  </si>
  <si>
    <t>ゴール7</t>
  </si>
  <si>
    <t>SDGsRank(Ring)</t>
  </si>
  <si>
    <t>ゴール8</t>
  </si>
  <si>
    <t>(BlankRing)</t>
  </si>
  <si>
    <t>ゴール9</t>
  </si>
  <si>
    <t>ゴール11</t>
  </si>
  <si>
    <t>ゴール12</t>
  </si>
  <si>
    <t>ゴール13</t>
  </si>
  <si>
    <t>ゴール15</t>
  </si>
  <si>
    <t>ゴール17</t>
    <phoneticPr fontId="4"/>
  </si>
  <si>
    <t>建築環境SDGsチェックリスト（戸建版）</t>
    <rPh sb="0" eb="2">
      <t>ケンチク</t>
    </rPh>
    <rPh sb="2" eb="4">
      <t>カンキョウ</t>
    </rPh>
    <rPh sb="16" eb="18">
      <t>コダテ</t>
    </rPh>
    <rPh sb="18" eb="19">
      <t>バン</t>
    </rPh>
    <phoneticPr fontId="4"/>
  </si>
  <si>
    <t>■建物名称</t>
    <rPh sb="1" eb="3">
      <t>タテモノ</t>
    </rPh>
    <rPh sb="3" eb="5">
      <t>メイショウ</t>
    </rPh>
    <phoneticPr fontId="149"/>
  </si>
  <si>
    <t>本チェックリストの実施有無：</t>
    <rPh sb="0" eb="1">
      <t>ホン</t>
    </rPh>
    <rPh sb="9" eb="11">
      <t>ジッシ</t>
    </rPh>
    <rPh sb="11" eb="13">
      <t>ウム</t>
    </rPh>
    <phoneticPr fontId="4"/>
  </si>
  <si>
    <t>SDGsゴール
/ターゲット</t>
    <phoneticPr fontId="4"/>
  </si>
  <si>
    <t>評価する取組み</t>
    <rPh sb="0" eb="2">
      <t>ヒョウカ</t>
    </rPh>
    <rPh sb="4" eb="6">
      <t>トリク</t>
    </rPh>
    <phoneticPr fontId="4"/>
  </si>
  <si>
    <t>取組んで
いない
（1点）</t>
    <rPh sb="0" eb="2">
      <t>トリク</t>
    </rPh>
    <rPh sb="12" eb="13">
      <t>テン</t>
    </rPh>
    <phoneticPr fontId="4"/>
  </si>
  <si>
    <t>取組んで
いる
（2点）</t>
    <rPh sb="0" eb="2">
      <t>トリク</t>
    </rPh>
    <rPh sb="11" eb="12">
      <t>テン</t>
    </rPh>
    <phoneticPr fontId="4"/>
  </si>
  <si>
    <t>積極的に
取組んで
いる
（3点）</t>
    <rPh sb="0" eb="3">
      <t>セッキョクテキ</t>
    </rPh>
    <rPh sb="5" eb="7">
      <t>トリク</t>
    </rPh>
    <rPh sb="15" eb="16">
      <t>テン</t>
    </rPh>
    <phoneticPr fontId="4"/>
  </si>
  <si>
    <r>
      <t xml:space="preserve">特筆事項
</t>
    </r>
    <r>
      <rPr>
        <sz val="8"/>
        <color theme="0"/>
        <rFont val="ＭＳ Ｐゴシック"/>
        <family val="3"/>
        <charset val="128"/>
      </rPr>
      <t>※アピールしたい取組みを自由に記述
※「取組みの状況」の評価以上の取組みを行っている場合は加点することができる（＋1ポイント）
（「加点対象」をチェック。ただし取組み点数は最大3ポイント）</t>
    </r>
    <rPh sb="0" eb="2">
      <t>トクヒツ</t>
    </rPh>
    <rPh sb="2" eb="4">
      <t>ジコウ</t>
    </rPh>
    <rPh sb="13" eb="15">
      <t>トリク</t>
    </rPh>
    <rPh sb="17" eb="19">
      <t>ジユウ</t>
    </rPh>
    <rPh sb="20" eb="22">
      <t>キジュツ</t>
    </rPh>
    <rPh sb="25" eb="27">
      <t>トリク</t>
    </rPh>
    <rPh sb="29" eb="31">
      <t>ジョウキョウ</t>
    </rPh>
    <rPh sb="33" eb="35">
      <t>ヒョウカ</t>
    </rPh>
    <rPh sb="35" eb="37">
      <t>イジョウ</t>
    </rPh>
    <rPh sb="38" eb="40">
      <t>トリク</t>
    </rPh>
    <rPh sb="42" eb="43">
      <t>オコナ</t>
    </rPh>
    <rPh sb="47" eb="49">
      <t>バアイ</t>
    </rPh>
    <rPh sb="50" eb="52">
      <t>カテン</t>
    </rPh>
    <rPh sb="71" eb="73">
      <t>カテン</t>
    </rPh>
    <rPh sb="73" eb="75">
      <t>タイショウ</t>
    </rPh>
    <rPh sb="85" eb="87">
      <t>トリク</t>
    </rPh>
    <rPh sb="88" eb="90">
      <t>テンスウ</t>
    </rPh>
    <rPh sb="91" eb="93">
      <t>サイダイ</t>
    </rPh>
    <phoneticPr fontId="4"/>
  </si>
  <si>
    <t>大項目</t>
    <rPh sb="0" eb="3">
      <t>ダイコウモク</t>
    </rPh>
    <phoneticPr fontId="149"/>
  </si>
  <si>
    <t>小項目</t>
    <rPh sb="0" eb="3">
      <t>ショウコウモク</t>
    </rPh>
    <phoneticPr fontId="149"/>
  </si>
  <si>
    <t>加点
対象</t>
    <rPh sb="0" eb="2">
      <t>カテン</t>
    </rPh>
    <rPh sb="3" eb="5">
      <t>タイショウ</t>
    </rPh>
    <phoneticPr fontId="4"/>
  </si>
  <si>
    <t>状況</t>
    <rPh sb="0" eb="2">
      <t>ジョウキョウ</t>
    </rPh>
    <phoneticPr fontId="4"/>
  </si>
  <si>
    <t>①貧困をなくそう</t>
    <rPh sb="1" eb="3">
      <t>ヒンコン</t>
    </rPh>
    <phoneticPr fontId="4"/>
  </si>
  <si>
    <t>ゴール1の取組みは「ゴール12 つくる責任つかう責任」等に集約されています</t>
    <rPh sb="5" eb="7">
      <t>トリク</t>
    </rPh>
    <rPh sb="19" eb="21">
      <t>セキニン</t>
    </rPh>
    <rPh sb="24" eb="26">
      <t>セキニン</t>
    </rPh>
    <rPh sb="27" eb="28">
      <t>トウ</t>
    </rPh>
    <rPh sb="29" eb="31">
      <t>シュウヤク</t>
    </rPh>
    <phoneticPr fontId="4"/>
  </si>
  <si>
    <t>②飢餓をゼロに</t>
    <rPh sb="1" eb="3">
      <t>キガ</t>
    </rPh>
    <phoneticPr fontId="4"/>
  </si>
  <si>
    <t>ゴール2の取組みは「ゴール12 つくる責任つかう責任」等に集約されています</t>
    <rPh sb="29" eb="31">
      <t>シュウヤク</t>
    </rPh>
    <phoneticPr fontId="4"/>
  </si>
  <si>
    <t>●</t>
    <phoneticPr fontId="4"/>
  </si>
  <si>
    <t>大項目数</t>
    <rPh sb="0" eb="3">
      <t>ダイコウモク</t>
    </rPh>
    <rPh sb="3" eb="4">
      <t>スウ</t>
    </rPh>
    <phoneticPr fontId="4"/>
  </si>
  <si>
    <t>小項目数</t>
    <rPh sb="0" eb="4">
      <t>ショウコウモクスウ</t>
    </rPh>
    <phoneticPr fontId="4"/>
  </si>
  <si>
    <t>③すべての人々に健康と福祉を</t>
    <rPh sb="5" eb="7">
      <t>ヒトビト</t>
    </rPh>
    <rPh sb="8" eb="10">
      <t>ケンコウ</t>
    </rPh>
    <rPh sb="11" eb="13">
      <t>フクシ</t>
    </rPh>
    <phoneticPr fontId="4"/>
  </si>
  <si>
    <t>【居住者の健康維持増進】</t>
    <phoneticPr fontId="4"/>
  </si>
  <si>
    <t>室内の温熱環境を整える</t>
    <phoneticPr fontId="4"/>
  </si>
  <si>
    <t>3.1.1</t>
    <phoneticPr fontId="4"/>
  </si>
  <si>
    <t>断熱性能を高める</t>
    <phoneticPr fontId="4"/>
  </si>
  <si>
    <t>室内外の熱の流入・流出を抑制するよう対策している。</t>
    <rPh sb="0" eb="2">
      <t>シツナイ</t>
    </rPh>
    <rPh sb="2" eb="3">
      <t>ガイ</t>
    </rPh>
    <rPh sb="4" eb="5">
      <t>ネツ</t>
    </rPh>
    <rPh sb="6" eb="8">
      <t>リュウニュウ</t>
    </rPh>
    <rPh sb="9" eb="11">
      <t>リュウシュツ</t>
    </rPh>
    <rPh sb="12" eb="14">
      <t>ヨクセイ</t>
    </rPh>
    <rPh sb="18" eb="20">
      <t>タイサク</t>
    </rPh>
    <phoneticPr fontId="4"/>
  </si>
  <si>
    <t>SQ1.1.1.1</t>
    <phoneticPr fontId="4"/>
  </si>
  <si>
    <t>断熱等性能の確保</t>
    <rPh sb="0" eb="2">
      <t>ダンネツ</t>
    </rPh>
    <rPh sb="2" eb="3">
      <t>トウ</t>
    </rPh>
    <rPh sb="3" eb="5">
      <t>セイノウ</t>
    </rPh>
    <rPh sb="6" eb="8">
      <t>カクホ</t>
    </rPh>
    <phoneticPr fontId="4"/>
  </si>
  <si>
    <t>3.1.2</t>
    <phoneticPr fontId="4"/>
  </si>
  <si>
    <t>日射調整機能を具える</t>
    <phoneticPr fontId="4"/>
  </si>
  <si>
    <t>開口部における夏の日射遮蔽と冬の日射取得を両立させるよう対策している</t>
    <rPh sb="28" eb="30">
      <t>タイサク</t>
    </rPh>
    <phoneticPr fontId="4"/>
  </si>
  <si>
    <t>SQ1.1.1.2</t>
    <phoneticPr fontId="4"/>
  </si>
  <si>
    <t>日射の調整機能</t>
    <rPh sb="0" eb="2">
      <t>ニッシャ</t>
    </rPh>
    <rPh sb="3" eb="5">
      <t>チョウセイ</t>
    </rPh>
    <rPh sb="5" eb="7">
      <t>キノウ</t>
    </rPh>
    <phoneticPr fontId="4"/>
  </si>
  <si>
    <t>3.1.3</t>
    <phoneticPr fontId="4"/>
  </si>
  <si>
    <t>通風・排熱性能を具える</t>
    <phoneticPr fontId="4"/>
  </si>
  <si>
    <t>屋外の風を室内に取り込み、室内に溜まった熱気を室外に排出するよう対策している</t>
    <rPh sb="0" eb="2">
      <t>オクガイ</t>
    </rPh>
    <rPh sb="3" eb="4">
      <t>カゼ</t>
    </rPh>
    <rPh sb="5" eb="7">
      <t>シツナイ</t>
    </rPh>
    <rPh sb="8" eb="9">
      <t>ト</t>
    </rPh>
    <rPh sb="10" eb="11">
      <t>コ</t>
    </rPh>
    <rPh sb="13" eb="15">
      <t>シツナイ</t>
    </rPh>
    <rPh sb="16" eb="17">
      <t>タ</t>
    </rPh>
    <rPh sb="20" eb="22">
      <t>ネッキ</t>
    </rPh>
    <rPh sb="23" eb="25">
      <t>シツガイ</t>
    </rPh>
    <rPh sb="26" eb="28">
      <t>ハイシュツ</t>
    </rPh>
    <rPh sb="32" eb="34">
      <t>タイサク</t>
    </rPh>
    <phoneticPr fontId="4"/>
  </si>
  <si>
    <t>SQ1.1.2.1</t>
    <phoneticPr fontId="4"/>
  </si>
  <si>
    <t>風を取り込み熱気を逃がす</t>
    <rPh sb="0" eb="1">
      <t>カゼ</t>
    </rPh>
    <rPh sb="2" eb="3">
      <t>ト</t>
    </rPh>
    <rPh sb="4" eb="5">
      <t>コ</t>
    </rPh>
    <rPh sb="6" eb="8">
      <t>ネッキ</t>
    </rPh>
    <rPh sb="9" eb="10">
      <t>ニ</t>
    </rPh>
    <phoneticPr fontId="4"/>
  </si>
  <si>
    <t>3.1.4</t>
    <phoneticPr fontId="4"/>
  </si>
  <si>
    <t>適切な冷房を具える</t>
    <phoneticPr fontId="4"/>
  </si>
  <si>
    <t>夏季に快適な室温を実現できるよう適切に冷房を計画している</t>
    <rPh sb="0" eb="2">
      <t>カキ</t>
    </rPh>
    <rPh sb="3" eb="5">
      <t>カイテキ</t>
    </rPh>
    <rPh sb="6" eb="8">
      <t>シツオン</t>
    </rPh>
    <rPh sb="9" eb="11">
      <t>ジツゲン</t>
    </rPh>
    <rPh sb="16" eb="18">
      <t>テキセツ</t>
    </rPh>
    <rPh sb="19" eb="21">
      <t>レイボウ</t>
    </rPh>
    <rPh sb="22" eb="24">
      <t>ケイカク</t>
    </rPh>
    <phoneticPr fontId="4"/>
  </si>
  <si>
    <t>SQ1.1.2.2</t>
    <phoneticPr fontId="4"/>
  </si>
  <si>
    <t>適切な冷房計画</t>
    <rPh sb="0" eb="2">
      <t>テキセツ</t>
    </rPh>
    <rPh sb="3" eb="5">
      <t>レイボウ</t>
    </rPh>
    <rPh sb="5" eb="7">
      <t>ケイカク</t>
    </rPh>
    <phoneticPr fontId="4"/>
  </si>
  <si>
    <t>3.1.5</t>
    <phoneticPr fontId="4"/>
  </si>
  <si>
    <t>適切な暖房を具える</t>
    <phoneticPr fontId="4"/>
  </si>
  <si>
    <t>冬季に快適な室温を実現できるよう適切に暖房を計画している</t>
    <rPh sb="0" eb="2">
      <t>トウキ</t>
    </rPh>
    <rPh sb="3" eb="5">
      <t>カイテキ</t>
    </rPh>
    <rPh sb="6" eb="8">
      <t>シツオン</t>
    </rPh>
    <rPh sb="9" eb="11">
      <t>ジツゲン</t>
    </rPh>
    <rPh sb="16" eb="18">
      <t>テキセツ</t>
    </rPh>
    <rPh sb="19" eb="21">
      <t>ダンボウ</t>
    </rPh>
    <rPh sb="22" eb="24">
      <t>ケイカク</t>
    </rPh>
    <phoneticPr fontId="4"/>
  </si>
  <si>
    <t>SQ1.1.3.1</t>
    <phoneticPr fontId="4"/>
  </si>
  <si>
    <t>適切な暖房計画</t>
    <rPh sb="0" eb="2">
      <t>テキセツ</t>
    </rPh>
    <rPh sb="3" eb="5">
      <t>ダンボウ</t>
    </rPh>
    <rPh sb="5" eb="7">
      <t>ケイカク</t>
    </rPh>
    <phoneticPr fontId="4"/>
  </si>
  <si>
    <t>室内の空気質・衛生に配慮する</t>
    <phoneticPr fontId="4"/>
  </si>
  <si>
    <t>3.2.1</t>
    <phoneticPr fontId="4"/>
  </si>
  <si>
    <t>化学物質について対策する</t>
    <phoneticPr fontId="4"/>
  </si>
  <si>
    <t>化学汚染物質による空気質汚染を回避するために十分な対策を行っている</t>
    <rPh sb="0" eb="2">
      <t>カガク</t>
    </rPh>
    <rPh sb="2" eb="4">
      <t>オセン</t>
    </rPh>
    <rPh sb="4" eb="6">
      <t>ブッシツ</t>
    </rPh>
    <rPh sb="9" eb="11">
      <t>クウキ</t>
    </rPh>
    <rPh sb="11" eb="12">
      <t>シツ</t>
    </rPh>
    <rPh sb="12" eb="14">
      <t>オセン</t>
    </rPh>
    <rPh sb="15" eb="17">
      <t>カイヒ</t>
    </rPh>
    <rPh sb="22" eb="24">
      <t>ジュウブン</t>
    </rPh>
    <rPh sb="25" eb="27">
      <t>タイサク</t>
    </rPh>
    <rPh sb="28" eb="29">
      <t>オコナ</t>
    </rPh>
    <phoneticPr fontId="4"/>
  </si>
  <si>
    <t>SQ1.2.1</t>
    <phoneticPr fontId="4"/>
  </si>
  <si>
    <t>化学汚染物質の対策</t>
    <rPh sb="0" eb="2">
      <t>カガク</t>
    </rPh>
    <rPh sb="2" eb="4">
      <t>オセン</t>
    </rPh>
    <rPh sb="4" eb="6">
      <t>ブッシツ</t>
    </rPh>
    <rPh sb="7" eb="9">
      <t>タイサク</t>
    </rPh>
    <phoneticPr fontId="4"/>
  </si>
  <si>
    <t>3.2.2</t>
    <phoneticPr fontId="4"/>
  </si>
  <si>
    <t>適切な換気性能を具える</t>
    <phoneticPr fontId="4"/>
  </si>
  <si>
    <t>室内で発生する汚染物質を換気等の方法により適切に処理する対策を行っている</t>
    <rPh sb="0" eb="2">
      <t>シツナイ</t>
    </rPh>
    <rPh sb="3" eb="5">
      <t>ハッセイ</t>
    </rPh>
    <rPh sb="7" eb="9">
      <t>オセン</t>
    </rPh>
    <rPh sb="9" eb="11">
      <t>ブッシツ</t>
    </rPh>
    <rPh sb="12" eb="14">
      <t>カンキ</t>
    </rPh>
    <rPh sb="14" eb="15">
      <t>トウ</t>
    </rPh>
    <rPh sb="16" eb="18">
      <t>ホウホウ</t>
    </rPh>
    <rPh sb="21" eb="23">
      <t>テキセツ</t>
    </rPh>
    <rPh sb="24" eb="26">
      <t>ショリ</t>
    </rPh>
    <rPh sb="28" eb="30">
      <t>タイサク</t>
    </rPh>
    <rPh sb="31" eb="32">
      <t>オコナ</t>
    </rPh>
    <phoneticPr fontId="4"/>
  </si>
  <si>
    <t>SQ1.2.2</t>
    <phoneticPr fontId="4"/>
  </si>
  <si>
    <t>適切な換気計画</t>
    <rPh sb="0" eb="2">
      <t>テキセツ</t>
    </rPh>
    <rPh sb="3" eb="5">
      <t>カンキ</t>
    </rPh>
    <rPh sb="5" eb="7">
      <t>ケイカク</t>
    </rPh>
    <phoneticPr fontId="4"/>
  </si>
  <si>
    <t>3.2.3</t>
    <phoneticPr fontId="4"/>
  </si>
  <si>
    <t>水回りの衛生を維持しやすくする</t>
    <phoneticPr fontId="4"/>
  </si>
  <si>
    <t>水回りを衛生的に保ちやすいデザイン・仕様の選択や、点検をしやすくする対策を実施している
（①または②：取組んでいる　①②とも：積極的に取組んでいる）
【評価する取組み】
①水周りを衛生的に保ちやすいデザイン・仕様に、一つ以上取組んでいる
　例　・抗菌機能を有する床、壁の仕上げ、設備など
　　　 ・清掃しやすい壁や床の工夫
　　　 ・清掃しやすいキッチン、洗面台、便器の工夫
　　　 ・その他
②給排水設備の点検のしやすさへの配慮に、一つ以上取組んでいる
　例　・配管類がコンクリートに埋められていない
　　　 ・掃除口・点検口が適切に設けられている
　　　 ・その他</t>
    <rPh sb="77" eb="79">
      <t>ヒョウカ</t>
    </rPh>
    <rPh sb="81" eb="83">
      <t>トリク</t>
    </rPh>
    <phoneticPr fontId="4"/>
  </si>
  <si>
    <t>3.3</t>
    <phoneticPr fontId="4"/>
  </si>
  <si>
    <t>室内の光環境を整える</t>
    <phoneticPr fontId="4"/>
  </si>
  <si>
    <t>3.3.1</t>
    <phoneticPr fontId="4"/>
  </si>
  <si>
    <t>適切な採光性能を具える</t>
    <phoneticPr fontId="4"/>
  </si>
  <si>
    <t>屋外の明るさを室内に取り込むよう、窓の開口面積、方位、昼光利用設備などを工夫している</t>
    <rPh sb="0" eb="2">
      <t>オクガイ</t>
    </rPh>
    <rPh sb="3" eb="4">
      <t>アカ</t>
    </rPh>
    <rPh sb="7" eb="9">
      <t>シツナイ</t>
    </rPh>
    <rPh sb="10" eb="11">
      <t>ト</t>
    </rPh>
    <rPh sb="12" eb="13">
      <t>コ</t>
    </rPh>
    <rPh sb="17" eb="18">
      <t>マド</t>
    </rPh>
    <rPh sb="19" eb="21">
      <t>カイコウ</t>
    </rPh>
    <rPh sb="21" eb="23">
      <t>メンセキ</t>
    </rPh>
    <rPh sb="24" eb="26">
      <t>ホウイ</t>
    </rPh>
    <rPh sb="27" eb="28">
      <t>ヒル</t>
    </rPh>
    <rPh sb="28" eb="29">
      <t>ヒカリ</t>
    </rPh>
    <rPh sb="29" eb="31">
      <t>リヨウ</t>
    </rPh>
    <rPh sb="31" eb="33">
      <t>セツビ</t>
    </rPh>
    <rPh sb="36" eb="38">
      <t>クフウ</t>
    </rPh>
    <phoneticPr fontId="4"/>
  </si>
  <si>
    <t>SQ1.3</t>
    <phoneticPr fontId="4"/>
  </si>
  <si>
    <t>3.3.2</t>
    <phoneticPr fontId="4"/>
  </si>
  <si>
    <t>室の用途に応じた適切な照明計画や遮光対策を行っている</t>
    <rPh sb="0" eb="1">
      <t>シツ</t>
    </rPh>
    <rPh sb="2" eb="4">
      <t>ヨウト</t>
    </rPh>
    <rPh sb="5" eb="6">
      <t>オウ</t>
    </rPh>
    <rPh sb="8" eb="10">
      <t>テキセツ</t>
    </rPh>
    <rPh sb="11" eb="13">
      <t>ショウメイ</t>
    </rPh>
    <rPh sb="13" eb="15">
      <t>ケイカク</t>
    </rPh>
    <rPh sb="16" eb="18">
      <t>シャコウ</t>
    </rPh>
    <rPh sb="18" eb="20">
      <t>タイサク</t>
    </rPh>
    <rPh sb="21" eb="22">
      <t>オコナ</t>
    </rPh>
    <phoneticPr fontId="4"/>
  </si>
  <si>
    <t>居間に適切な照明設備を計画し、就寝する室の遮光対策を施している。
（①②のいずれか一つ：取組んでいる　①②とも：積極的に取組んでいる）
※学習スペース、ワークスペースについては別途評価
①居間について適切な照明計画としている
　例　・食事や読書など使い方に対応できるような照明器具の配置
②就寝する部屋の開口部について、遮光対策を行っている
　例　・遮光カーテン、雨戸、外付けブラインド等</t>
    <rPh sb="117" eb="119">
      <t>イマ</t>
    </rPh>
    <rPh sb="123" eb="125">
      <t>テキセツ</t>
    </rPh>
    <rPh sb="126" eb="128">
      <t>ショウメイ</t>
    </rPh>
    <rPh sb="128" eb="130">
      <t>ケイカク</t>
    </rPh>
    <rPh sb="137" eb="138">
      <t>レイ</t>
    </rPh>
    <rPh sb="140" eb="142">
      <t>ショクジ</t>
    </rPh>
    <rPh sb="143" eb="145">
      <t>ドクショ</t>
    </rPh>
    <rPh sb="147" eb="148">
      <t>ツカ</t>
    </rPh>
    <rPh sb="149" eb="150">
      <t>カタ</t>
    </rPh>
    <rPh sb="151" eb="153">
      <t>タイオウ</t>
    </rPh>
    <rPh sb="159" eb="161">
      <t>ショウメイ</t>
    </rPh>
    <rPh sb="161" eb="163">
      <t>キグ</t>
    </rPh>
    <rPh sb="164" eb="166">
      <t>ハイチ</t>
    </rPh>
    <rPh sb="194" eb="195">
      <t>レイ</t>
    </rPh>
    <phoneticPr fontId="4"/>
  </si>
  <si>
    <t>3.4</t>
    <phoneticPr fontId="4"/>
  </si>
  <si>
    <t>室内の音環境を整える</t>
    <phoneticPr fontId="4"/>
  </si>
  <si>
    <t>3.4.1</t>
    <phoneticPr fontId="4"/>
  </si>
  <si>
    <t>適切な遮音性能を具える</t>
    <phoneticPr fontId="4"/>
  </si>
  <si>
    <t>室内の静かさを確保するための適切な遮音対策を実施している</t>
    <rPh sb="0" eb="2">
      <t>シツナイ</t>
    </rPh>
    <rPh sb="3" eb="4">
      <t>シズ</t>
    </rPh>
    <rPh sb="7" eb="9">
      <t>カクホ</t>
    </rPh>
    <rPh sb="14" eb="16">
      <t>テキセツ</t>
    </rPh>
    <rPh sb="17" eb="19">
      <t>シャオン</t>
    </rPh>
    <rPh sb="19" eb="21">
      <t>タイサク</t>
    </rPh>
    <rPh sb="22" eb="24">
      <t>ジッシ</t>
    </rPh>
    <phoneticPr fontId="4"/>
  </si>
  <si>
    <t>SQ1.4</t>
    <phoneticPr fontId="4"/>
  </si>
  <si>
    <t>静かさ</t>
    <rPh sb="0" eb="1">
      <t>シズ</t>
    </rPh>
    <phoneticPr fontId="4"/>
  </si>
  <si>
    <t>【居住者の安全性向上】</t>
    <phoneticPr fontId="4"/>
  </si>
  <si>
    <t>3.5</t>
    <phoneticPr fontId="4"/>
  </si>
  <si>
    <t>防犯・防災対策を施す</t>
    <phoneticPr fontId="4"/>
  </si>
  <si>
    <t>3.5.1</t>
    <phoneticPr fontId="4"/>
  </si>
  <si>
    <t>防犯対策を施す</t>
    <rPh sb="5" eb="6">
      <t>ホドコ</t>
    </rPh>
    <phoneticPr fontId="4"/>
  </si>
  <si>
    <t>防犯のため、開口部の侵入対策を実施している</t>
    <rPh sb="0" eb="2">
      <t>ボウハン</t>
    </rPh>
    <rPh sb="6" eb="9">
      <t>カイコウブ</t>
    </rPh>
    <rPh sb="10" eb="12">
      <t>シンニュウ</t>
    </rPh>
    <rPh sb="12" eb="14">
      <t>タイサク</t>
    </rPh>
    <rPh sb="15" eb="17">
      <t>ジッシ</t>
    </rPh>
    <phoneticPr fontId="4"/>
  </si>
  <si>
    <t>犯罪に備える</t>
    <rPh sb="0" eb="2">
      <t>ハンザイ</t>
    </rPh>
    <rPh sb="3" eb="4">
      <t>ソナ</t>
    </rPh>
    <phoneticPr fontId="4"/>
  </si>
  <si>
    <t>3.5.2</t>
    <phoneticPr fontId="4"/>
  </si>
  <si>
    <t>防災対策を施す</t>
    <rPh sb="0" eb="2">
      <t>ボウサイ</t>
    </rPh>
    <rPh sb="2" eb="4">
      <t>タイサク</t>
    </rPh>
    <rPh sb="5" eb="6">
      <t>ホドコ</t>
    </rPh>
    <phoneticPr fontId="4"/>
  </si>
  <si>
    <t>災害発生時の室内の安全性の確保、災害発生後に一時的な自立を可能とするような対策を実施している</t>
    <phoneticPr fontId="4"/>
  </si>
  <si>
    <t>SQ1.2.4</t>
    <phoneticPr fontId="4"/>
  </si>
  <si>
    <t>3.6</t>
    <phoneticPr fontId="4"/>
  </si>
  <si>
    <t>室内事故を防止する</t>
    <rPh sb="0" eb="2">
      <t>シツナイ</t>
    </rPh>
    <rPh sb="2" eb="4">
      <t>ジコ</t>
    </rPh>
    <rPh sb="5" eb="7">
      <t>ボウシ</t>
    </rPh>
    <phoneticPr fontId="4"/>
  </si>
  <si>
    <t>3.6.1</t>
    <phoneticPr fontId="4"/>
  </si>
  <si>
    <t>バリアフリーとする</t>
    <phoneticPr fontId="4"/>
  </si>
  <si>
    <t>SQ2.3.2</t>
    <phoneticPr fontId="4"/>
  </si>
  <si>
    <t>バリアフリー対応</t>
    <rPh sb="6" eb="8">
      <t>タイオウ</t>
    </rPh>
    <phoneticPr fontId="4"/>
  </si>
  <si>
    <t>3.6.2</t>
    <phoneticPr fontId="4"/>
  </si>
  <si>
    <t>水回りのヒートショックを防ぐ</t>
    <rPh sb="0" eb="1">
      <t>ミズ</t>
    </rPh>
    <rPh sb="1" eb="2">
      <t>マワ</t>
    </rPh>
    <rPh sb="12" eb="13">
      <t>フセ</t>
    </rPh>
    <phoneticPr fontId="4"/>
  </si>
  <si>
    <t>【近隣居住者の健康被害防止】</t>
    <phoneticPr fontId="4"/>
  </si>
  <si>
    <t>3.7</t>
    <phoneticPr fontId="4"/>
  </si>
  <si>
    <t>騒音などを低減する</t>
    <rPh sb="0" eb="2">
      <t>ソウオン</t>
    </rPh>
    <rPh sb="5" eb="7">
      <t>テイゲン</t>
    </rPh>
    <phoneticPr fontId="4"/>
  </si>
  <si>
    <t>3.7.1</t>
    <phoneticPr fontId="4"/>
  </si>
  <si>
    <t>騒音・振動・排気・排熱を低減する</t>
    <phoneticPr fontId="4"/>
  </si>
  <si>
    <t>近隣居住者の健康的な生活を阻害しないよう、敷地内から発生する騒音、振動、排気、排熱等に配慮している</t>
    <rPh sb="0" eb="2">
      <t>キンリン</t>
    </rPh>
    <rPh sb="2" eb="5">
      <t>キョジュウシャ</t>
    </rPh>
    <rPh sb="6" eb="9">
      <t>ケンコウテキ</t>
    </rPh>
    <rPh sb="10" eb="12">
      <t>セイカツ</t>
    </rPh>
    <rPh sb="13" eb="15">
      <t>ソガイ</t>
    </rPh>
    <rPh sb="21" eb="23">
      <t>シキチ</t>
    </rPh>
    <rPh sb="23" eb="24">
      <t>ナイ</t>
    </rPh>
    <rPh sb="26" eb="28">
      <t>ハッセイ</t>
    </rPh>
    <rPh sb="30" eb="32">
      <t>ソウオン</t>
    </rPh>
    <rPh sb="33" eb="35">
      <t>シンドウ</t>
    </rPh>
    <rPh sb="36" eb="38">
      <t>ハイキ</t>
    </rPh>
    <rPh sb="39" eb="41">
      <t>ハイネツ</t>
    </rPh>
    <rPh sb="41" eb="42">
      <t>トウ</t>
    </rPh>
    <rPh sb="43" eb="45">
      <t>ハイリョ</t>
    </rPh>
    <phoneticPr fontId="4"/>
  </si>
  <si>
    <t>SLR3.3.1</t>
    <phoneticPr fontId="4"/>
  </si>
  <si>
    <t>④質の高い教育をみんなに</t>
    <rPh sb="1" eb="2">
      <t>シツ</t>
    </rPh>
    <rPh sb="3" eb="4">
      <t>タカ</t>
    </rPh>
    <rPh sb="5" eb="7">
      <t>キョウイク</t>
    </rPh>
    <phoneticPr fontId="4"/>
  </si>
  <si>
    <t>4.1</t>
    <phoneticPr fontId="4"/>
  </si>
  <si>
    <t>学習に適した室内環境を整える</t>
    <phoneticPr fontId="4"/>
  </si>
  <si>
    <t>4.1.1</t>
    <phoneticPr fontId="4"/>
  </si>
  <si>
    <t>住宅内で落ち着いて学習することができ、また十分に休息をとれる温熱環境を整えるため、住宅の断熱性能を高めている</t>
    <rPh sb="0" eb="2">
      <t>ジュウタク</t>
    </rPh>
    <rPh sb="2" eb="3">
      <t>ナイ</t>
    </rPh>
    <rPh sb="4" eb="5">
      <t>オ</t>
    </rPh>
    <rPh sb="6" eb="7">
      <t>ツ</t>
    </rPh>
    <rPh sb="9" eb="11">
      <t>ガクシュウ</t>
    </rPh>
    <rPh sb="21" eb="23">
      <t>ジュウブン</t>
    </rPh>
    <rPh sb="24" eb="26">
      <t>キュウソク</t>
    </rPh>
    <rPh sb="30" eb="32">
      <t>オンネツ</t>
    </rPh>
    <rPh sb="32" eb="34">
      <t>カンキョウ</t>
    </rPh>
    <rPh sb="35" eb="36">
      <t>トトノ</t>
    </rPh>
    <rPh sb="41" eb="43">
      <t>ジュウタク</t>
    </rPh>
    <rPh sb="44" eb="46">
      <t>ダンネツ</t>
    </rPh>
    <rPh sb="46" eb="48">
      <t>セイノウ</t>
    </rPh>
    <rPh sb="49" eb="50">
      <t>タカ</t>
    </rPh>
    <phoneticPr fontId="4"/>
  </si>
  <si>
    <t>4.1.2</t>
    <phoneticPr fontId="4"/>
  </si>
  <si>
    <t>住宅内で落ち着いて学習することができ、また十分に休息をとれる温熱環境を整えるため、開口部について日射を調整できるよう工夫している</t>
    <phoneticPr fontId="4"/>
  </si>
  <si>
    <t>4.1.3</t>
    <phoneticPr fontId="4"/>
  </si>
  <si>
    <t>住宅内で落ち着いて学習することができ、また十分に休息をとれる温熱環境を整えるため、十分に通風、排熱することができるよう工夫している</t>
    <rPh sb="0" eb="2">
      <t>ジュウタク</t>
    </rPh>
    <rPh sb="2" eb="3">
      <t>ナイ</t>
    </rPh>
    <rPh sb="4" eb="5">
      <t>オ</t>
    </rPh>
    <rPh sb="6" eb="7">
      <t>ツ</t>
    </rPh>
    <rPh sb="9" eb="11">
      <t>ガクシュウ</t>
    </rPh>
    <rPh sb="21" eb="23">
      <t>ジュウブン</t>
    </rPh>
    <rPh sb="24" eb="26">
      <t>キュウソク</t>
    </rPh>
    <rPh sb="30" eb="32">
      <t>オンネツ</t>
    </rPh>
    <rPh sb="32" eb="34">
      <t>カンキョウ</t>
    </rPh>
    <rPh sb="35" eb="36">
      <t>トトノ</t>
    </rPh>
    <rPh sb="41" eb="43">
      <t>ジュウブン</t>
    </rPh>
    <rPh sb="44" eb="46">
      <t>ツウフウ</t>
    </rPh>
    <rPh sb="47" eb="49">
      <t>ハイネツ</t>
    </rPh>
    <rPh sb="59" eb="61">
      <t>クフウ</t>
    </rPh>
    <phoneticPr fontId="4"/>
  </si>
  <si>
    <t>4.1.4</t>
    <phoneticPr fontId="4"/>
  </si>
  <si>
    <t>住宅内で落ち着いて学習することができ、また十分に休息をとれる温熱環境を整えるため、適切な冷房を計画している</t>
    <rPh sb="0" eb="2">
      <t>ジュウタク</t>
    </rPh>
    <rPh sb="2" eb="3">
      <t>ナイ</t>
    </rPh>
    <rPh sb="4" eb="5">
      <t>オ</t>
    </rPh>
    <rPh sb="6" eb="7">
      <t>ツ</t>
    </rPh>
    <rPh sb="9" eb="11">
      <t>ガクシュウ</t>
    </rPh>
    <rPh sb="21" eb="23">
      <t>ジュウブン</t>
    </rPh>
    <rPh sb="24" eb="26">
      <t>キュウソク</t>
    </rPh>
    <rPh sb="30" eb="32">
      <t>オンネツ</t>
    </rPh>
    <rPh sb="32" eb="34">
      <t>カンキョウ</t>
    </rPh>
    <rPh sb="35" eb="36">
      <t>トトノ</t>
    </rPh>
    <rPh sb="41" eb="43">
      <t>テキセツ</t>
    </rPh>
    <rPh sb="44" eb="46">
      <t>レイボウ</t>
    </rPh>
    <rPh sb="47" eb="49">
      <t>ケイカク</t>
    </rPh>
    <phoneticPr fontId="4"/>
  </si>
  <si>
    <t>4.1.5</t>
    <phoneticPr fontId="4"/>
  </si>
  <si>
    <t>適切な暖房を具える</t>
    <rPh sb="0" eb="2">
      <t>テキセツ</t>
    </rPh>
    <rPh sb="3" eb="5">
      <t>ダンボウ</t>
    </rPh>
    <phoneticPr fontId="4"/>
  </si>
  <si>
    <t>住宅内で落ち着いて学習することができ、また十分に休息をとれる温熱環境を整えるため、適切な暖房を計画している</t>
    <rPh sb="0" eb="2">
      <t>ジュウタク</t>
    </rPh>
    <rPh sb="2" eb="3">
      <t>ナイ</t>
    </rPh>
    <rPh sb="4" eb="5">
      <t>オ</t>
    </rPh>
    <rPh sb="6" eb="7">
      <t>ツ</t>
    </rPh>
    <rPh sb="9" eb="11">
      <t>ガクシュウ</t>
    </rPh>
    <rPh sb="21" eb="23">
      <t>ジュウブン</t>
    </rPh>
    <rPh sb="24" eb="26">
      <t>キュウソク</t>
    </rPh>
    <rPh sb="30" eb="32">
      <t>オンネツ</t>
    </rPh>
    <rPh sb="32" eb="34">
      <t>カンキョウ</t>
    </rPh>
    <rPh sb="35" eb="36">
      <t>トトノ</t>
    </rPh>
    <rPh sb="41" eb="43">
      <t>テキセツ</t>
    </rPh>
    <rPh sb="44" eb="46">
      <t>ダンボウ</t>
    </rPh>
    <rPh sb="47" eb="49">
      <t>ケイカク</t>
    </rPh>
    <phoneticPr fontId="4"/>
  </si>
  <si>
    <t>4.2</t>
    <phoneticPr fontId="4"/>
  </si>
  <si>
    <t>居住者のニーズに応じた学習スペースを整える</t>
    <phoneticPr fontId="4"/>
  </si>
  <si>
    <t>4.2.1</t>
    <phoneticPr fontId="4"/>
  </si>
  <si>
    <t>家族の学習スペースを設える</t>
    <phoneticPr fontId="4"/>
  </si>
  <si>
    <t>家族個々人の適切な学習スペースを継続的に確保するよう工夫している
（①：取組んでいる　②：積極的に取組んでいる）
①共用スペースの中などに学習スペース・学習コーナーを工夫して配置している
②独立した学習スペースを配置している
※学習スペースの条件：デスク（ワークトップ）、照明、電源、通信環境等を整えられること</t>
    <rPh sb="70" eb="72">
      <t>ガクシュウ</t>
    </rPh>
    <rPh sb="77" eb="79">
      <t>ガクシュウ</t>
    </rPh>
    <rPh sb="84" eb="86">
      <t>クフウ</t>
    </rPh>
    <rPh sb="88" eb="90">
      <t>ハイチ</t>
    </rPh>
    <rPh sb="115" eb="117">
      <t>ガクシュウ</t>
    </rPh>
    <rPh sb="122" eb="124">
      <t>ジョウケン</t>
    </rPh>
    <rPh sb="149" eb="150">
      <t>トトノ</t>
    </rPh>
    <phoneticPr fontId="4"/>
  </si>
  <si>
    <t>4.2.2</t>
    <phoneticPr fontId="4"/>
  </si>
  <si>
    <t>集中を妨げない光・音環境を整える</t>
    <phoneticPr fontId="4"/>
  </si>
  <si>
    <t>学習スペースについて、集中を妨げないよう光環境・音環境を整えている
（①または②：取組んでいる　①②とも：積極的に取組んでいる）
①昼光を調整する対策と学習に適した照明を計画している
②外部騒音や住宅内の生活音の影響を低減する対策を行っている
　例　・外部騒音対策、外部騒音の気にならない位置への配置
　　　 ・宅内の生活音の遮音対策、生活音の気にならない位置への配置</t>
    <rPh sb="0" eb="2">
      <t>ガクシュウ</t>
    </rPh>
    <rPh sb="11" eb="13">
      <t>シュウチュウ</t>
    </rPh>
    <rPh sb="14" eb="15">
      <t>サマタ</t>
    </rPh>
    <rPh sb="20" eb="21">
      <t>ヒカリ</t>
    </rPh>
    <rPh sb="21" eb="23">
      <t>カンキョウ</t>
    </rPh>
    <rPh sb="24" eb="25">
      <t>オト</t>
    </rPh>
    <rPh sb="25" eb="27">
      <t>カンキョウ</t>
    </rPh>
    <rPh sb="28" eb="29">
      <t>トトノ</t>
    </rPh>
    <rPh sb="125" eb="126">
      <t>レイ</t>
    </rPh>
    <phoneticPr fontId="4"/>
  </si>
  <si>
    <t>⑤ジェンダー平等を実現しよう</t>
    <rPh sb="6" eb="8">
      <t>ビョウドウ</t>
    </rPh>
    <rPh sb="9" eb="11">
      <t>ジツゲン</t>
    </rPh>
    <phoneticPr fontId="4"/>
  </si>
  <si>
    <t>5.1</t>
    <phoneticPr fontId="4"/>
  </si>
  <si>
    <t>5.1.1</t>
    <phoneticPr fontId="4"/>
  </si>
  <si>
    <t>5.2</t>
    <phoneticPr fontId="4"/>
  </si>
  <si>
    <t>家事・子育て・介護等がしやすく、負担を軽減・分担しやすいデザインとする</t>
    <phoneticPr fontId="4"/>
  </si>
  <si>
    <t>5.2.1</t>
    <phoneticPr fontId="4"/>
  </si>
  <si>
    <t>余裕のある空間・間取りとする</t>
    <phoneticPr fontId="4"/>
  </si>
  <si>
    <t>家族の構成等に応じて、必要とする質や広さを確保している</t>
    <phoneticPr fontId="4"/>
  </si>
  <si>
    <t>SQ2.3.1</t>
    <phoneticPr fontId="4"/>
  </si>
  <si>
    <t>広さと間取り</t>
    <rPh sb="0" eb="1">
      <t>ヒロ</t>
    </rPh>
    <rPh sb="3" eb="5">
      <t>マド</t>
    </rPh>
    <phoneticPr fontId="4"/>
  </si>
  <si>
    <t>5.2.2</t>
    <phoneticPr fontId="4"/>
  </si>
  <si>
    <t>家事負担を軽減するデザイン、子育て・介護等のしやすいデザインに取組む</t>
    <phoneticPr fontId="4"/>
  </si>
  <si>
    <t>家事・子育て・介護等を担う人の負担を軽減するとともに、家族で分担しやすくするよう工夫している
（①②③のいずれか一つ：取組んでいる　①②③のいずれか二つ以上：積極的に取組んでいる）
①家事負担を軽減するデザインに取組んでいる
　例　・キッチン等の複数人で家事を行いやすい空間計画
　　　 ・洗濯干し導線をコンパクトにする工夫
　　　 ・その他
②子育て負担を軽減するデザインに取組んでいる
　例　・乳幼児の事故・けが等に配慮した建具等
　 　　・乳幼児に目の届きやすい空間の配慮
　　　 ・その他
③介護負担を軽減するデザインに取組んでいる
　例　・介護時の移動の容易性への配慮（トイレ、リビング、お出かけ、庭） 
　　 　・介護者が介添えできる空間確保（トイレ、浴室、ベッド回り等）
　　　 ・その他</t>
    <rPh sb="56" eb="57">
      <t>ヒト</t>
    </rPh>
    <rPh sb="107" eb="109">
      <t>トリク</t>
    </rPh>
    <rPh sb="115" eb="116">
      <t>レイ</t>
    </rPh>
    <rPh sb="171" eb="172">
      <t>タ</t>
    </rPh>
    <rPh sb="197" eb="198">
      <t>レイ</t>
    </rPh>
    <rPh sb="248" eb="249">
      <t>タ</t>
    </rPh>
    <rPh sb="273" eb="274">
      <t>レイ</t>
    </rPh>
    <rPh sb="351" eb="352">
      <t>タ</t>
    </rPh>
    <phoneticPr fontId="4"/>
  </si>
  <si>
    <t>⑥安全な水とトイレを世界中に</t>
    <rPh sb="1" eb="3">
      <t>アンゼン</t>
    </rPh>
    <rPh sb="4" eb="5">
      <t>ミズ</t>
    </rPh>
    <rPh sb="10" eb="12">
      <t>セカイ</t>
    </rPh>
    <rPh sb="12" eb="13">
      <t>ジュウ</t>
    </rPh>
    <phoneticPr fontId="4"/>
  </si>
  <si>
    <t>【水資源の保全】</t>
    <phoneticPr fontId="4"/>
  </si>
  <si>
    <t>6.1</t>
    <phoneticPr fontId="4"/>
  </si>
  <si>
    <t>水資源を有効に利用する</t>
    <phoneticPr fontId="4"/>
  </si>
  <si>
    <t>6.1.1</t>
    <phoneticPr fontId="4"/>
  </si>
  <si>
    <t>節水機器を採用する</t>
    <phoneticPr fontId="4"/>
  </si>
  <si>
    <t>上水使用量を削減する節水対策に取組んでいる</t>
    <rPh sb="0" eb="2">
      <t>ジョウスイ</t>
    </rPh>
    <rPh sb="2" eb="4">
      <t>シヨウ</t>
    </rPh>
    <rPh sb="4" eb="5">
      <t>リョウ</t>
    </rPh>
    <rPh sb="6" eb="8">
      <t>サクゲン</t>
    </rPh>
    <rPh sb="10" eb="12">
      <t>セッスイ</t>
    </rPh>
    <rPh sb="12" eb="14">
      <t>タイサク</t>
    </rPh>
    <rPh sb="15" eb="17">
      <t>トリク</t>
    </rPh>
    <phoneticPr fontId="4"/>
  </si>
  <si>
    <t>SLR1.2.1</t>
    <phoneticPr fontId="4"/>
  </si>
  <si>
    <t>節水型設備</t>
    <rPh sb="0" eb="3">
      <t>セッスイガタ</t>
    </rPh>
    <rPh sb="3" eb="5">
      <t>セツビ</t>
    </rPh>
    <phoneticPr fontId="4"/>
  </si>
  <si>
    <t>6.1.2</t>
    <phoneticPr fontId="4"/>
  </si>
  <si>
    <t>雨水を利用する</t>
    <rPh sb="0" eb="2">
      <t>ウスイ</t>
    </rPh>
    <rPh sb="3" eb="5">
      <t>リヨウ</t>
    </rPh>
    <phoneticPr fontId="4"/>
  </si>
  <si>
    <t>上水使用量を削減する雨水利用に取組んでいる</t>
    <rPh sb="0" eb="2">
      <t>ジョウスイ</t>
    </rPh>
    <rPh sb="2" eb="4">
      <t>シヨウ</t>
    </rPh>
    <rPh sb="4" eb="5">
      <t>リョウ</t>
    </rPh>
    <rPh sb="6" eb="8">
      <t>サクゲン</t>
    </rPh>
    <rPh sb="10" eb="12">
      <t>ウスイ</t>
    </rPh>
    <rPh sb="12" eb="14">
      <t>リヨウ</t>
    </rPh>
    <rPh sb="15" eb="17">
      <t>トリク</t>
    </rPh>
    <phoneticPr fontId="4"/>
  </si>
  <si>
    <t>SLR1.2.2</t>
    <phoneticPr fontId="4"/>
  </si>
  <si>
    <t>雨水の利用</t>
    <rPh sb="0" eb="2">
      <t>ウスイ</t>
    </rPh>
    <rPh sb="3" eb="5">
      <t>リヨウ</t>
    </rPh>
    <phoneticPr fontId="4"/>
  </si>
  <si>
    <t>6.2</t>
    <phoneticPr fontId="4"/>
  </si>
  <si>
    <t>水循環の保全に配慮する</t>
    <phoneticPr fontId="4"/>
  </si>
  <si>
    <t>6.2.1</t>
    <phoneticPr fontId="4"/>
  </si>
  <si>
    <t>敷地・建物への降雨を浸透させる</t>
    <phoneticPr fontId="4"/>
  </si>
  <si>
    <t>敷地や建物への降雨を浸透させる取組みを行っている
（①または②：取組んでいる　①②とも：積極的に取組んでいる）
①外構部への降雨を浸透させる対策を実施している
　例　・外構への降雨を集水し浸透させる浸透ます、浸透トレンチの設置
　　　 ・外構面積の過半を植栽地や浸透性舗装など透水性を有する仕上げ
　　　 ・その他
②屋根面への降雨を浸透させる対策を実施している
　例　・屋根降雨を浸透させる浸透ます、浸透トレンチの設置
　　　 その他</t>
    <rPh sb="82" eb="83">
      <t>レイ</t>
    </rPh>
    <rPh sb="184" eb="185">
      <t>レイ</t>
    </rPh>
    <rPh sb="187" eb="189">
      <t>ヤネ</t>
    </rPh>
    <rPh sb="189" eb="191">
      <t>コウウ</t>
    </rPh>
    <rPh sb="192" eb="194">
      <t>シントウ</t>
    </rPh>
    <rPh sb="218" eb="219">
      <t>タ</t>
    </rPh>
    <phoneticPr fontId="4"/>
  </si>
  <si>
    <t>【生活用水の衛生管理】</t>
    <phoneticPr fontId="4"/>
  </si>
  <si>
    <t>6.3</t>
    <phoneticPr fontId="4"/>
  </si>
  <si>
    <t>生活用水や水回りの衛生管理に備える</t>
    <phoneticPr fontId="4"/>
  </si>
  <si>
    <t>6.3.1</t>
    <phoneticPr fontId="4"/>
  </si>
  <si>
    <t>生活用水や水回りを衛生的に保ちやすいデザイン・仕様の選択や、点検をしやすくする対策を実施している
（①または②：取組んでいる　①②とも：積極的に取組んでいる）
①水周りを衛生的に保ちやすいデザイン・仕様に、一つ以上取組んでいる
　例　・抗菌機能を有する床、壁の仕上げ、設備など
　　　 ・清掃しやすい壁や床の工夫
　　　 ・清掃しやすいキッチン、洗面台、便器の工夫
　　　 ・その他
②給排水設備の点検のしやすさへの配慮に、一つ以上取組んでいる
　例　・配管類がコンクリートに埋められていない
　　　 ・掃除口・点検口が適切に設けられている
　　　 ・その他</t>
    <rPh sb="100" eb="102">
      <t>シヨウ</t>
    </rPh>
    <rPh sb="104" eb="105">
      <t>ヒト</t>
    </rPh>
    <rPh sb="106" eb="108">
      <t>イジョウ</t>
    </rPh>
    <rPh sb="108" eb="110">
      <t>トリク</t>
    </rPh>
    <rPh sb="116" eb="117">
      <t>レイ</t>
    </rPh>
    <rPh sb="191" eb="192">
      <t>タ</t>
    </rPh>
    <rPh sb="213" eb="214">
      <t>ヒト</t>
    </rPh>
    <rPh sb="215" eb="217">
      <t>イジョウ</t>
    </rPh>
    <rPh sb="217" eb="219">
      <t>トリク</t>
    </rPh>
    <rPh sb="225" eb="226">
      <t>レイ</t>
    </rPh>
    <rPh sb="279" eb="280">
      <t>タ</t>
    </rPh>
    <phoneticPr fontId="4"/>
  </si>
  <si>
    <t>⑦エネルギーをみんなに、
そしてクリーンに</t>
    <phoneticPr fontId="4"/>
  </si>
  <si>
    <t>7.1</t>
    <phoneticPr fontId="4"/>
  </si>
  <si>
    <t>家庭におけるエネルギーの効率的な利用を推進する</t>
    <phoneticPr fontId="4"/>
  </si>
  <si>
    <t>7.1.1</t>
    <phoneticPr fontId="4"/>
  </si>
  <si>
    <t>SLR1.1.1</t>
    <phoneticPr fontId="4"/>
  </si>
  <si>
    <t>7.2</t>
    <phoneticPr fontId="4"/>
  </si>
  <si>
    <t>より積極的に省エネ・創エネ・蓄エネに取組む</t>
    <phoneticPr fontId="4"/>
  </si>
  <si>
    <t>7.2.1</t>
    <phoneticPr fontId="4"/>
  </si>
  <si>
    <t>より高度な省エネ・創エネ・蓄エネに取組む</t>
    <phoneticPr fontId="4"/>
  </si>
  <si>
    <t>7.2.2</t>
    <phoneticPr fontId="4"/>
  </si>
  <si>
    <t>エネルギーを効率的に管理する</t>
    <phoneticPr fontId="4"/>
  </si>
  <si>
    <t>エネルギーの使い方の改善や効率的な制御を促す工夫を行っている
（①または②：取組んでいる　①②とも：積極的に取組んでいる）
①エネルギーの使い方の改善を促したり、効率的な制御に取組む
　例　・HEMSによる機器制御、省エネ行動を促す情報提供
　　　 ・その他
②住まい方にあわせた省エネの工夫に取組む
　例　・上手に太陽の熱を取り入れ、温かく暮らす工夫
　　　 ・上手に風を通し、涼しく暮らす工夫
　　　 ・その他</t>
    <rPh sb="94" eb="95">
      <t>レイ</t>
    </rPh>
    <rPh sb="129" eb="130">
      <t>タ</t>
    </rPh>
    <rPh sb="207" eb="208">
      <t>タ</t>
    </rPh>
    <phoneticPr fontId="4"/>
  </si>
  <si>
    <t>⑧働きがいも、経済成長も</t>
    <rPh sb="1" eb="2">
      <t>ハタラ</t>
    </rPh>
    <rPh sb="7" eb="9">
      <t>ケイザイ</t>
    </rPh>
    <rPh sb="9" eb="11">
      <t>セイチョウ</t>
    </rPh>
    <phoneticPr fontId="4"/>
  </si>
  <si>
    <t>8.1</t>
    <phoneticPr fontId="4"/>
  </si>
  <si>
    <t>在宅ワークに適した室内環境を整える</t>
    <phoneticPr fontId="4"/>
  </si>
  <si>
    <t>8.1.1</t>
    <phoneticPr fontId="4"/>
  </si>
  <si>
    <t>住宅内で落ち着いて仕事をすることができ、また十分に休息をとれる温熱環境を整えるため、住宅の断熱性能を高めている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4">
      <t>ジュウタク</t>
    </rPh>
    <rPh sb="45" eb="47">
      <t>ダンネツ</t>
    </rPh>
    <rPh sb="47" eb="49">
      <t>セイノウ</t>
    </rPh>
    <rPh sb="50" eb="51">
      <t>タカ</t>
    </rPh>
    <phoneticPr fontId="4"/>
  </si>
  <si>
    <t>8.1.2</t>
    <phoneticPr fontId="4"/>
  </si>
  <si>
    <t>住宅内で落ち着いて仕事をすることができ、また十分に休息をとれる温熱環境を整えるため、開口部について日射を調整できるよう工夫している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5">
      <t>カイコウブ</t>
    </rPh>
    <rPh sb="49" eb="51">
      <t>ニッシャ</t>
    </rPh>
    <rPh sb="52" eb="54">
      <t>チョウセイ</t>
    </rPh>
    <rPh sb="59" eb="61">
      <t>クフウ</t>
    </rPh>
    <phoneticPr fontId="4"/>
  </si>
  <si>
    <t>8.1.3</t>
    <phoneticPr fontId="4"/>
  </si>
  <si>
    <t>住宅内で落ち着いて仕事をすることができ、また十分に休息をとれる温熱環境を整えるため、十分に通風、排熱することができるよう工夫している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4">
      <t>ジュウブン</t>
    </rPh>
    <rPh sb="45" eb="47">
      <t>ツウフウ</t>
    </rPh>
    <rPh sb="48" eb="50">
      <t>ハイネツ</t>
    </rPh>
    <rPh sb="60" eb="62">
      <t>クフウ</t>
    </rPh>
    <phoneticPr fontId="4"/>
  </si>
  <si>
    <t>8.1.4</t>
    <phoneticPr fontId="4"/>
  </si>
  <si>
    <t>適切な冷房を具える</t>
    <rPh sb="0" eb="2">
      <t>テキセツ</t>
    </rPh>
    <rPh sb="3" eb="5">
      <t>レイボウ</t>
    </rPh>
    <phoneticPr fontId="4"/>
  </si>
  <si>
    <t>住宅内で落ち着いて仕事をすることができ、また十分に休息をとれる温熱環境を整えるため、適切な冷房を計画している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4">
      <t>テキセツ</t>
    </rPh>
    <rPh sb="45" eb="47">
      <t>レイボウ</t>
    </rPh>
    <rPh sb="48" eb="50">
      <t>ケイカク</t>
    </rPh>
    <phoneticPr fontId="4"/>
  </si>
  <si>
    <t>8.1.5</t>
    <phoneticPr fontId="4"/>
  </si>
  <si>
    <t>住宅内で落ち着いて仕事をすることができ、また十分に休息をとれる温熱環境を整えるため、適切な暖房を計画している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4">
      <t>テキセツ</t>
    </rPh>
    <rPh sb="45" eb="47">
      <t>ダンボウ</t>
    </rPh>
    <rPh sb="48" eb="50">
      <t>ケイカク</t>
    </rPh>
    <phoneticPr fontId="4"/>
  </si>
  <si>
    <t>8.2</t>
    <phoneticPr fontId="4"/>
  </si>
  <si>
    <t>居住者のニーズに応じた在宅ワークスペースを整える</t>
    <phoneticPr fontId="4"/>
  </si>
  <si>
    <t>8.2.1</t>
    <phoneticPr fontId="4"/>
  </si>
  <si>
    <t>在宅ワークのためのスペースを設える</t>
    <rPh sb="0" eb="2">
      <t>ザイタク</t>
    </rPh>
    <rPh sb="14" eb="15">
      <t>シツラ</t>
    </rPh>
    <phoneticPr fontId="4"/>
  </si>
  <si>
    <t>家族個々人に必要なワークスペースを継続的に確保するよう工夫している
（①：取組んでいる　②：積極的に取組んでいる）
①共用スペースの中などにワークスペース・ワークコーナーを工夫して配置している
②独立したワークスペースを配置している
※ワークスペースの条件：デスク（ワークトップ）、照明、電源、通信環境等を整えられていること</t>
    <phoneticPr fontId="4"/>
  </si>
  <si>
    <t>8.2.2</t>
    <phoneticPr fontId="4"/>
  </si>
  <si>
    <t>ワークスペースについて、集中を妨げないよう光環境・音環境を整える計画としている
（①または②：取組んでいる　①②とも：積極的に取組んでいる）
①昼光を調整する対策※とワークに適した照明を計画している
　※採光を確保すると同時に直射日光を和らげる対策
②外部騒音や住宅内の生活音の影響を低減する対策※を行っている
　※外部騒音の遮音対策や外部騒音の気にならない位置への配置、住宅内の生活音の遮音対策や生活音の気にならない位置への配置など</t>
    <rPh sb="156" eb="158">
      <t>ジュウタク</t>
    </rPh>
    <phoneticPr fontId="4"/>
  </si>
  <si>
    <t>⑨産業と革新の基盤をつくろう</t>
    <rPh sb="1" eb="3">
      <t>サンギョウ</t>
    </rPh>
    <rPh sb="4" eb="6">
      <t>カクシン</t>
    </rPh>
    <rPh sb="7" eb="9">
      <t>キバン</t>
    </rPh>
    <phoneticPr fontId="4"/>
  </si>
  <si>
    <t>9.1</t>
    <phoneticPr fontId="4"/>
  </si>
  <si>
    <t>住宅産業全体のイノベーションの促進に貢献する</t>
    <phoneticPr fontId="4"/>
  </si>
  <si>
    <t>9.1.1</t>
    <phoneticPr fontId="4"/>
  </si>
  <si>
    <t>より高い断熱性能の住宅の普及に貢献する</t>
    <rPh sb="2" eb="3">
      <t>タカ</t>
    </rPh>
    <rPh sb="4" eb="6">
      <t>ダンネツ</t>
    </rPh>
    <rPh sb="6" eb="8">
      <t>セイノウ</t>
    </rPh>
    <rPh sb="9" eb="11">
      <t>ジュウタク</t>
    </rPh>
    <rPh sb="12" eb="14">
      <t>フキュウ</t>
    </rPh>
    <rPh sb="15" eb="17">
      <t>コウケン</t>
    </rPh>
    <phoneticPr fontId="4"/>
  </si>
  <si>
    <t>9.1.2</t>
    <phoneticPr fontId="4"/>
  </si>
  <si>
    <t>より高い省エネルギー性能の住宅の普及に貢献する</t>
    <rPh sb="2" eb="3">
      <t>タカ</t>
    </rPh>
    <rPh sb="4" eb="5">
      <t>ショウ</t>
    </rPh>
    <rPh sb="10" eb="12">
      <t>セイノウ</t>
    </rPh>
    <rPh sb="13" eb="15">
      <t>ジュウタク</t>
    </rPh>
    <rPh sb="16" eb="18">
      <t>フキュウ</t>
    </rPh>
    <rPh sb="19" eb="21">
      <t>コウケン</t>
    </rPh>
    <phoneticPr fontId="4"/>
  </si>
  <si>
    <t>9.1.3</t>
    <phoneticPr fontId="4"/>
  </si>
  <si>
    <t>より高い耐震性能の住宅の普及に貢献する</t>
    <rPh sb="2" eb="3">
      <t>タカ</t>
    </rPh>
    <rPh sb="4" eb="6">
      <t>タイシン</t>
    </rPh>
    <rPh sb="6" eb="8">
      <t>セイノウ</t>
    </rPh>
    <rPh sb="9" eb="11">
      <t>ジュウタク</t>
    </rPh>
    <rPh sb="12" eb="14">
      <t>フキュウ</t>
    </rPh>
    <rPh sb="15" eb="17">
      <t>コウケン</t>
    </rPh>
    <phoneticPr fontId="4"/>
  </si>
  <si>
    <t>自然災害や地震に対して構造躯体の倒壊、崩壊しにくい住宅の普及に貢献している
○住宅性能表示基準における
　　　耐震等級１相当　：取組んでいない
　　　耐震等級２相当　：取組んでいる
　　　耐震等級３相当　：積極的に取組んでいる</t>
    <rPh sb="39" eb="41">
      <t>ジュウタク</t>
    </rPh>
    <rPh sb="41" eb="43">
      <t>セイノウ</t>
    </rPh>
    <rPh sb="43" eb="45">
      <t>ヒョウジ</t>
    </rPh>
    <rPh sb="45" eb="47">
      <t>キジュン</t>
    </rPh>
    <rPh sb="55" eb="57">
      <t>タイシン</t>
    </rPh>
    <rPh sb="57" eb="59">
      <t>トウキュウ</t>
    </rPh>
    <rPh sb="60" eb="62">
      <t>ソウトウ</t>
    </rPh>
    <rPh sb="64" eb="66">
      <t>トリク</t>
    </rPh>
    <rPh sb="75" eb="77">
      <t>タイシン</t>
    </rPh>
    <rPh sb="77" eb="79">
      <t>トウキュウ</t>
    </rPh>
    <rPh sb="80" eb="82">
      <t>ソウトウ</t>
    </rPh>
    <rPh sb="84" eb="86">
      <t>トリク</t>
    </rPh>
    <rPh sb="94" eb="96">
      <t>タイシン</t>
    </rPh>
    <rPh sb="96" eb="98">
      <t>トウキュウ</t>
    </rPh>
    <rPh sb="99" eb="101">
      <t>ソウトウ</t>
    </rPh>
    <rPh sb="103" eb="106">
      <t>セッキョクテキ</t>
    </rPh>
    <rPh sb="107" eb="109">
      <t>トリク</t>
    </rPh>
    <phoneticPr fontId="4"/>
  </si>
  <si>
    <t>9.1.4</t>
    <phoneticPr fontId="4"/>
  </si>
  <si>
    <t>住宅生産・居住に関する先端技術の普及に貢献する</t>
    <phoneticPr fontId="4"/>
  </si>
  <si>
    <t>9.2</t>
    <phoneticPr fontId="4"/>
  </si>
  <si>
    <t>居住者の暮らし・アクティビティの質を高める</t>
    <phoneticPr fontId="4"/>
  </si>
  <si>
    <t>9.2.1</t>
    <phoneticPr fontId="149"/>
  </si>
  <si>
    <t>住宅内における居住者の暮らしとアクティビティの質を高める</t>
    <phoneticPr fontId="4"/>
  </si>
  <si>
    <t>住宅内での暮らしとアクティビティの質を高めるスペースや先進的な通信サービスを導入している
（①または②：取組んでいる　①②とも：積極的に取組んでいる）
①創作活動・趣味活動などに適したスペースや設備を充実させている
　　　（庭、屋上、バルコニーの利用なども含む）
②通信ネットワーク等を活用した生活の質の向上とコミュニケーションの充実に適した環境（スペースと設備）を整えている
　例　・ICT技術を活用し住環境をリモートで制御する
　　　 ・ICT技術を活用した見守りサービスの導入
　　　 ・ネットを利用した地域コミュニケーションサービスの導入
　　　 ・その他</t>
    <rPh sb="98" eb="100">
      <t>セツビ</t>
    </rPh>
    <rPh sb="101" eb="103">
      <t>ジュウジツ</t>
    </rPh>
    <rPh sb="113" eb="114">
      <t>ニワ</t>
    </rPh>
    <rPh sb="115" eb="117">
      <t>オクジョウ</t>
    </rPh>
    <rPh sb="124" eb="126">
      <t>リヨウ</t>
    </rPh>
    <rPh sb="129" eb="130">
      <t>フク</t>
    </rPh>
    <rPh sb="134" eb="136">
      <t>ツウシン</t>
    </rPh>
    <rPh sb="184" eb="185">
      <t>トトノ</t>
    </rPh>
    <rPh sb="191" eb="192">
      <t>レイ</t>
    </rPh>
    <rPh sb="197" eb="199">
      <t>ギジュツ</t>
    </rPh>
    <rPh sb="200" eb="202">
      <t>カツヨウ</t>
    </rPh>
    <rPh sb="203" eb="206">
      <t>ジュウカンキョウ</t>
    </rPh>
    <rPh sb="212" eb="214">
      <t>セイギョ</t>
    </rPh>
    <rPh sb="225" eb="227">
      <t>ギジュツ</t>
    </rPh>
    <rPh sb="228" eb="230">
      <t>カツヨウ</t>
    </rPh>
    <rPh sb="232" eb="234">
      <t>ミマモ</t>
    </rPh>
    <rPh sb="240" eb="242">
      <t>ドウニュウ</t>
    </rPh>
    <rPh sb="252" eb="254">
      <t>リヨウ</t>
    </rPh>
    <rPh sb="256" eb="258">
      <t>チイキ</t>
    </rPh>
    <rPh sb="272" eb="274">
      <t>ドウニュウ</t>
    </rPh>
    <rPh sb="282" eb="283">
      <t>タ</t>
    </rPh>
    <phoneticPr fontId="4"/>
  </si>
  <si>
    <t>⑩人や国の不平等をなくそう</t>
    <rPh sb="1" eb="2">
      <t>ヒト</t>
    </rPh>
    <rPh sb="3" eb="4">
      <t>クニ</t>
    </rPh>
    <rPh sb="5" eb="8">
      <t>フビョウドウ</t>
    </rPh>
    <phoneticPr fontId="4"/>
  </si>
  <si>
    <t>ゴール10の内容はゴール5等に集約されています</t>
    <rPh sb="6" eb="8">
      <t>ナイヨウ</t>
    </rPh>
    <rPh sb="13" eb="14">
      <t>トウ</t>
    </rPh>
    <rPh sb="15" eb="17">
      <t>シュウヤク</t>
    </rPh>
    <phoneticPr fontId="4"/>
  </si>
  <si>
    <t>⑪住続けられるまちづくりを</t>
    <rPh sb="1" eb="2">
      <t>スミ</t>
    </rPh>
    <rPh sb="2" eb="3">
      <t>ツヅ</t>
    </rPh>
    <phoneticPr fontId="4"/>
  </si>
  <si>
    <t>【長く住宅に住むための備え】</t>
    <rPh sb="1" eb="2">
      <t>ナガ</t>
    </rPh>
    <rPh sb="3" eb="5">
      <t>ジュウタク</t>
    </rPh>
    <rPh sb="6" eb="7">
      <t>ス</t>
    </rPh>
    <rPh sb="11" eb="12">
      <t>ソナ</t>
    </rPh>
    <phoneticPr fontId="4"/>
  </si>
  <si>
    <t>11.1</t>
    <phoneticPr fontId="4"/>
  </si>
  <si>
    <t>耐用性を向上させる</t>
    <rPh sb="4" eb="6">
      <t>コウジョウ</t>
    </rPh>
    <phoneticPr fontId="4"/>
  </si>
  <si>
    <t>11.1.1</t>
    <phoneticPr fontId="4"/>
  </si>
  <si>
    <t>空間のゆとりを確保する</t>
    <rPh sb="0" eb="2">
      <t>クウカン</t>
    </rPh>
    <rPh sb="7" eb="9">
      <t>カクホ</t>
    </rPh>
    <phoneticPr fontId="4"/>
  </si>
  <si>
    <t>11.1.2</t>
    <phoneticPr fontId="4"/>
  </si>
  <si>
    <t>室の使い方や間取りの変更に対応できるようにする</t>
    <rPh sb="0" eb="1">
      <t>シツ</t>
    </rPh>
    <rPh sb="2" eb="3">
      <t>ツカ</t>
    </rPh>
    <rPh sb="4" eb="5">
      <t>カタ</t>
    </rPh>
    <rPh sb="6" eb="8">
      <t>マド</t>
    </rPh>
    <rPh sb="10" eb="12">
      <t>ヘンコウ</t>
    </rPh>
    <rPh sb="13" eb="15">
      <t>タイオウ</t>
    </rPh>
    <phoneticPr fontId="4"/>
  </si>
  <si>
    <t>インテリアや設備の改修のしやすさ、室の使い方や間取りの変更のしやすさに配慮している
（①または②：取組んでいる　①②とも：積極的に取組んでいる）
①改修のしやすさへの配慮
　例　・インテリア・設備等の改修のしやすさ
②家族のライフステージの変化に応じた室の使い方変更、間取り変更への配慮
　例　・室の分割や統合のしやすさ
 　　　・将来のトイレ増設を見込んだ配管準備
　　　 ・その他</t>
    <rPh sb="75" eb="77">
      <t>カイシュウ</t>
    </rPh>
    <rPh sb="84" eb="86">
      <t>ハイリョ</t>
    </rPh>
    <rPh sb="88" eb="89">
      <t>レイ</t>
    </rPh>
    <rPh sb="97" eb="99">
      <t>セツビ</t>
    </rPh>
    <rPh sb="99" eb="100">
      <t>トウ</t>
    </rPh>
    <rPh sb="101" eb="103">
      <t>カイシュウ</t>
    </rPh>
    <rPh sb="146" eb="147">
      <t>レイ</t>
    </rPh>
    <rPh sb="149" eb="150">
      <t>シツ</t>
    </rPh>
    <rPh sb="151" eb="153">
      <t>ブンカツ</t>
    </rPh>
    <rPh sb="154" eb="156">
      <t>トウゴウ</t>
    </rPh>
    <rPh sb="167" eb="169">
      <t>ショウライ</t>
    </rPh>
    <rPh sb="173" eb="175">
      <t>ゾウセツ</t>
    </rPh>
    <rPh sb="176" eb="178">
      <t>ミコ</t>
    </rPh>
    <rPh sb="180" eb="182">
      <t>ハイカン</t>
    </rPh>
    <rPh sb="182" eb="184">
      <t>ジュンビ</t>
    </rPh>
    <rPh sb="192" eb="193">
      <t>タ</t>
    </rPh>
    <phoneticPr fontId="4"/>
  </si>
  <si>
    <t>11.2</t>
    <phoneticPr fontId="4"/>
  </si>
  <si>
    <t>耐久性を向上させる</t>
    <rPh sb="4" eb="6">
      <t>コウジョウ</t>
    </rPh>
    <phoneticPr fontId="4"/>
  </si>
  <si>
    <t>11.2.1</t>
    <phoneticPr fontId="4"/>
  </si>
  <si>
    <t>構造躯体における長寿命化対策</t>
    <phoneticPr fontId="4"/>
  </si>
  <si>
    <t>長期にわたり居住できる住宅となるよう、構造躯体について長寿命化対策に取組んでいる</t>
    <rPh sb="0" eb="2">
      <t>チョウキ</t>
    </rPh>
    <rPh sb="6" eb="8">
      <t>キョジュウ</t>
    </rPh>
    <rPh sb="11" eb="13">
      <t>ジュウタク</t>
    </rPh>
    <rPh sb="19" eb="21">
      <t>コウゾウ</t>
    </rPh>
    <rPh sb="21" eb="23">
      <t>クタイ</t>
    </rPh>
    <rPh sb="27" eb="28">
      <t>チョウ</t>
    </rPh>
    <rPh sb="28" eb="31">
      <t>ジュミョウカ</t>
    </rPh>
    <rPh sb="31" eb="33">
      <t>タイサク</t>
    </rPh>
    <rPh sb="34" eb="36">
      <t>トリク</t>
    </rPh>
    <phoneticPr fontId="4"/>
  </si>
  <si>
    <t>SQ2.1.1</t>
    <phoneticPr fontId="4"/>
  </si>
  <si>
    <t>11.2.2</t>
    <phoneticPr fontId="4"/>
  </si>
  <si>
    <t>外壁材における長寿命化対策</t>
    <phoneticPr fontId="4"/>
  </si>
  <si>
    <t>長期にわたり居住できる住宅となるよう、外壁材について長寿命化対策に取組んでいる</t>
    <phoneticPr fontId="4"/>
  </si>
  <si>
    <t>SQ2.1.2</t>
    <phoneticPr fontId="4"/>
  </si>
  <si>
    <t>11.2.3</t>
    <phoneticPr fontId="4"/>
  </si>
  <si>
    <t>屋根材・陸屋根における長寿命化対策</t>
    <phoneticPr fontId="4"/>
  </si>
  <si>
    <t>長期にわたり居住できる住宅となるよう、屋根材または陸屋根について長寿命化対策に取組んでいる</t>
    <rPh sb="0" eb="2">
      <t>チョウキ</t>
    </rPh>
    <rPh sb="6" eb="8">
      <t>キョジュウ</t>
    </rPh>
    <rPh sb="11" eb="13">
      <t>ジュウタク</t>
    </rPh>
    <rPh sb="19" eb="21">
      <t>ヤネ</t>
    </rPh>
    <rPh sb="21" eb="22">
      <t>ザイ</t>
    </rPh>
    <rPh sb="25" eb="28">
      <t>リクヤネ</t>
    </rPh>
    <rPh sb="32" eb="33">
      <t>チョウ</t>
    </rPh>
    <rPh sb="33" eb="36">
      <t>ジュミョウカ</t>
    </rPh>
    <rPh sb="36" eb="38">
      <t>タイサク</t>
    </rPh>
    <rPh sb="39" eb="41">
      <t>トリク</t>
    </rPh>
    <phoneticPr fontId="4"/>
  </si>
  <si>
    <t>SQ2.1.3</t>
    <phoneticPr fontId="4"/>
  </si>
  <si>
    <t>11.3</t>
    <phoneticPr fontId="4"/>
  </si>
  <si>
    <t>適切な維持管理に備える</t>
    <phoneticPr fontId="4"/>
  </si>
  <si>
    <t>11.3.1</t>
    <phoneticPr fontId="4"/>
  </si>
  <si>
    <t>維持管理のしやすさに配慮する</t>
    <phoneticPr fontId="4"/>
  </si>
  <si>
    <t>長期にわたり居住できる住宅となるよう、配管類等の維持管理のしやすさに配慮している</t>
    <phoneticPr fontId="4"/>
  </si>
  <si>
    <t>SQ2.2.1</t>
    <phoneticPr fontId="4"/>
  </si>
  <si>
    <t>11.3.2</t>
    <phoneticPr fontId="4"/>
  </si>
  <si>
    <t>適切な維持管理を実施する計画・体制を整える</t>
    <phoneticPr fontId="4"/>
  </si>
  <si>
    <t>長期にわたり居住できる住宅となるよう、適切な維持管理を実施する計画・体制を整えている</t>
    <rPh sb="0" eb="2">
      <t>チョウキ</t>
    </rPh>
    <rPh sb="6" eb="8">
      <t>キョジュウ</t>
    </rPh>
    <rPh sb="11" eb="13">
      <t>ジュウタク</t>
    </rPh>
    <rPh sb="19" eb="21">
      <t>テキセツ</t>
    </rPh>
    <rPh sb="22" eb="24">
      <t>イジ</t>
    </rPh>
    <rPh sb="24" eb="26">
      <t>カンリ</t>
    </rPh>
    <rPh sb="27" eb="29">
      <t>ジッシ</t>
    </rPh>
    <rPh sb="31" eb="33">
      <t>ケイカク</t>
    </rPh>
    <rPh sb="34" eb="36">
      <t>タイセイ</t>
    </rPh>
    <rPh sb="37" eb="38">
      <t>トトノ</t>
    </rPh>
    <phoneticPr fontId="4"/>
  </si>
  <si>
    <t>SQ2.2.2</t>
    <phoneticPr fontId="4"/>
  </si>
  <si>
    <t>11.4</t>
    <phoneticPr fontId="4"/>
  </si>
  <si>
    <t>建物の耐震性能等を向上させる</t>
    <phoneticPr fontId="4"/>
  </si>
  <si>
    <t>11.4.1</t>
    <phoneticPr fontId="4"/>
  </si>
  <si>
    <t>敷地における災害リスクを確認し、情報を共有する</t>
    <phoneticPr fontId="4"/>
  </si>
  <si>
    <t>敷地における災害リスクを把握し、供給者、居住者等が共有している
（①：取組んでいる　①②とも：積極的に取組んでいる）
①ハザードマップ等により、敷地の災害リスクを確認している
②災害リスクについて、施主と設計者が共有し、対策について検討している
　例　 ・災害の種類に応じた建物の対策を検討している
　　　　　（水害リスクがあるので、ピロティ形式の建て方とするなど）
　　　　・災害の種類に応じた避難場所・避難の方法を検討している
　　　  ・その他</t>
    <rPh sb="68" eb="69">
      <t>トウ</t>
    </rPh>
    <rPh sb="73" eb="75">
      <t>シキチ</t>
    </rPh>
    <rPh sb="76" eb="78">
      <t>サイガイ</t>
    </rPh>
    <rPh sb="82" eb="84">
      <t>カクニン</t>
    </rPh>
    <rPh sb="90" eb="92">
      <t>サイガイ</t>
    </rPh>
    <rPh sb="125" eb="126">
      <t>レイ</t>
    </rPh>
    <rPh sb="129" eb="131">
      <t>サイガイ</t>
    </rPh>
    <rPh sb="132" eb="134">
      <t>シュルイ</t>
    </rPh>
    <rPh sb="135" eb="136">
      <t>オウ</t>
    </rPh>
    <rPh sb="138" eb="140">
      <t>タテモノ</t>
    </rPh>
    <rPh sb="141" eb="143">
      <t>タイサク</t>
    </rPh>
    <rPh sb="144" eb="146">
      <t>ケントウ</t>
    </rPh>
    <rPh sb="157" eb="159">
      <t>スイガイ</t>
    </rPh>
    <rPh sb="172" eb="174">
      <t>ケイシキ</t>
    </rPh>
    <rPh sb="175" eb="176">
      <t>タ</t>
    </rPh>
    <rPh sb="177" eb="178">
      <t>カタ</t>
    </rPh>
    <rPh sb="190" eb="192">
      <t>サイガイ</t>
    </rPh>
    <rPh sb="193" eb="195">
      <t>シュルイ</t>
    </rPh>
    <rPh sb="196" eb="197">
      <t>オウ</t>
    </rPh>
    <rPh sb="199" eb="201">
      <t>ヒナン</t>
    </rPh>
    <rPh sb="201" eb="203">
      <t>バショ</t>
    </rPh>
    <rPh sb="204" eb="206">
      <t>ヒナン</t>
    </rPh>
    <rPh sb="207" eb="209">
      <t>ホウホウ</t>
    </rPh>
    <rPh sb="210" eb="212">
      <t>ケントウ</t>
    </rPh>
    <rPh sb="225" eb="226">
      <t>タ</t>
    </rPh>
    <phoneticPr fontId="4"/>
  </si>
  <si>
    <t>11.4.2</t>
    <phoneticPr fontId="4"/>
  </si>
  <si>
    <t>自然災害に耐える構造とする</t>
    <phoneticPr fontId="4"/>
  </si>
  <si>
    <t>災害時にも安全を確保できるよう、自然災害に耐えられる構造としている</t>
    <rPh sb="0" eb="2">
      <t>サイガイ</t>
    </rPh>
    <rPh sb="2" eb="3">
      <t>ジ</t>
    </rPh>
    <rPh sb="5" eb="7">
      <t>アンゼン</t>
    </rPh>
    <rPh sb="8" eb="10">
      <t>カクホ</t>
    </rPh>
    <rPh sb="16" eb="18">
      <t>シゼン</t>
    </rPh>
    <rPh sb="18" eb="20">
      <t>サイガイ</t>
    </rPh>
    <rPh sb="21" eb="22">
      <t>タ</t>
    </rPh>
    <rPh sb="26" eb="28">
      <t>コウゾウ</t>
    </rPh>
    <phoneticPr fontId="4"/>
  </si>
  <si>
    <t>SQ2.1.4</t>
    <phoneticPr fontId="4"/>
  </si>
  <si>
    <t>自然災害に耐える</t>
    <rPh sb="0" eb="2">
      <t>シゼン</t>
    </rPh>
    <rPh sb="2" eb="4">
      <t>サイガイ</t>
    </rPh>
    <rPh sb="5" eb="6">
      <t>タ</t>
    </rPh>
    <phoneticPr fontId="4"/>
  </si>
  <si>
    <t>11.4.3</t>
    <phoneticPr fontId="4"/>
  </si>
  <si>
    <t>火災に耐える構造とする</t>
    <phoneticPr fontId="4"/>
  </si>
  <si>
    <t>火災発生時にも安全を確保できるよう、延焼しにくい構造としている</t>
    <phoneticPr fontId="4"/>
  </si>
  <si>
    <t>SQ2.1.5.1</t>
    <phoneticPr fontId="4"/>
  </si>
  <si>
    <t>火災に耐える構造</t>
    <rPh sb="0" eb="2">
      <t>カサイ</t>
    </rPh>
    <rPh sb="3" eb="4">
      <t>タ</t>
    </rPh>
    <rPh sb="6" eb="8">
      <t>コウゾウ</t>
    </rPh>
    <phoneticPr fontId="4"/>
  </si>
  <si>
    <t>11.4.4</t>
    <phoneticPr fontId="4"/>
  </si>
  <si>
    <t>火災の早期感知に備える</t>
    <phoneticPr fontId="4"/>
  </si>
  <si>
    <t>火災発生時に迅速に消火、避難など適切に対処できるよう、火災を早期感知する対策に取組んでいる</t>
    <rPh sb="0" eb="2">
      <t>カサイ</t>
    </rPh>
    <rPh sb="2" eb="4">
      <t>ハッセイ</t>
    </rPh>
    <rPh sb="4" eb="5">
      <t>ジ</t>
    </rPh>
    <rPh sb="6" eb="8">
      <t>ジンソク</t>
    </rPh>
    <rPh sb="9" eb="11">
      <t>ショウカ</t>
    </rPh>
    <rPh sb="12" eb="14">
      <t>ヒナン</t>
    </rPh>
    <rPh sb="16" eb="18">
      <t>テキセツ</t>
    </rPh>
    <rPh sb="19" eb="21">
      <t>タイショ</t>
    </rPh>
    <rPh sb="27" eb="29">
      <t>カサイ</t>
    </rPh>
    <rPh sb="30" eb="32">
      <t>ソウキ</t>
    </rPh>
    <rPh sb="32" eb="34">
      <t>カンチ</t>
    </rPh>
    <rPh sb="36" eb="38">
      <t>タイサク</t>
    </rPh>
    <rPh sb="39" eb="41">
      <t>トリク</t>
    </rPh>
    <phoneticPr fontId="4"/>
  </si>
  <si>
    <t>SQ2.1.5.2</t>
    <phoneticPr fontId="4"/>
  </si>
  <si>
    <t>火災の早期感知</t>
    <rPh sb="0" eb="2">
      <t>カサイ</t>
    </rPh>
    <rPh sb="3" eb="5">
      <t>ソウキ</t>
    </rPh>
    <rPh sb="5" eb="7">
      <t>カンチ</t>
    </rPh>
    <phoneticPr fontId="4"/>
  </si>
  <si>
    <t>11.5</t>
    <phoneticPr fontId="4"/>
  </si>
  <si>
    <t>災害に備える暮らしを支える</t>
    <phoneticPr fontId="4"/>
  </si>
  <si>
    <t>11.5.1</t>
    <phoneticPr fontId="4"/>
  </si>
  <si>
    <t>災害発生時の室内の安全性の確保、災害発生後に一時的な自立が可能となるよう対策を実施している</t>
    <rPh sb="0" eb="2">
      <t>サイガイ</t>
    </rPh>
    <rPh sb="2" eb="4">
      <t>ハッセイ</t>
    </rPh>
    <rPh sb="4" eb="5">
      <t>ジ</t>
    </rPh>
    <rPh sb="6" eb="8">
      <t>シツナイ</t>
    </rPh>
    <rPh sb="9" eb="12">
      <t>アンゼンセイ</t>
    </rPh>
    <rPh sb="13" eb="15">
      <t>カクホ</t>
    </rPh>
    <rPh sb="16" eb="18">
      <t>サイガイ</t>
    </rPh>
    <rPh sb="18" eb="20">
      <t>ハッセイ</t>
    </rPh>
    <rPh sb="20" eb="21">
      <t>ゴ</t>
    </rPh>
    <rPh sb="22" eb="25">
      <t>イチジテキ</t>
    </rPh>
    <rPh sb="26" eb="28">
      <t>ジリツ</t>
    </rPh>
    <rPh sb="29" eb="31">
      <t>カノウ</t>
    </rPh>
    <rPh sb="36" eb="38">
      <t>タイサク</t>
    </rPh>
    <rPh sb="39" eb="41">
      <t>ジッシ</t>
    </rPh>
    <phoneticPr fontId="4"/>
  </si>
  <si>
    <t>【地域の居住環境への配慮】</t>
    <rPh sb="1" eb="3">
      <t>チイキ</t>
    </rPh>
    <rPh sb="4" eb="6">
      <t>キョジュウ</t>
    </rPh>
    <rPh sb="6" eb="8">
      <t>カンキョウ</t>
    </rPh>
    <rPh sb="10" eb="12">
      <t>ハイリョ</t>
    </rPh>
    <phoneticPr fontId="4"/>
  </si>
  <si>
    <t>まちなみ・景観への配慮</t>
    <rPh sb="5" eb="7">
      <t>ケイカン</t>
    </rPh>
    <rPh sb="9" eb="11">
      <t>ハイリョ</t>
    </rPh>
    <phoneticPr fontId="4"/>
  </si>
  <si>
    <t>11.6</t>
    <phoneticPr fontId="4"/>
  </si>
  <si>
    <t>地域の良好な居住環境形成に貢献する</t>
    <phoneticPr fontId="4"/>
  </si>
  <si>
    <t>11.6.1</t>
    <phoneticPr fontId="4"/>
  </si>
  <si>
    <t>地域の街並み・景観に配慮する</t>
    <rPh sb="0" eb="2">
      <t>チイキ</t>
    </rPh>
    <rPh sb="3" eb="5">
      <t>マチナ</t>
    </rPh>
    <rPh sb="7" eb="9">
      <t>ケイカン</t>
    </rPh>
    <rPh sb="10" eb="12">
      <t>ハイリョ</t>
    </rPh>
    <phoneticPr fontId="4"/>
  </si>
  <si>
    <t>地域の良好な居住環境の形成に貢献するため、まちなみや景観に配慮している</t>
    <rPh sb="0" eb="2">
      <t>チイキ</t>
    </rPh>
    <rPh sb="3" eb="5">
      <t>リョウコウ</t>
    </rPh>
    <rPh sb="6" eb="8">
      <t>キョジュウ</t>
    </rPh>
    <rPh sb="8" eb="10">
      <t>カンキョウ</t>
    </rPh>
    <rPh sb="11" eb="13">
      <t>ケイセイ</t>
    </rPh>
    <rPh sb="14" eb="16">
      <t>コウケン</t>
    </rPh>
    <rPh sb="26" eb="28">
      <t>ケイカン</t>
    </rPh>
    <rPh sb="29" eb="31">
      <t>ハイリョ</t>
    </rPh>
    <phoneticPr fontId="4"/>
  </si>
  <si>
    <t>SQ3.1</t>
    <phoneticPr fontId="4"/>
  </si>
  <si>
    <t>11.6.2</t>
    <phoneticPr fontId="4"/>
  </si>
  <si>
    <t>敷地内を積極的に緑化する</t>
    <phoneticPr fontId="4"/>
  </si>
  <si>
    <t>地域の良好な居住環境の形成に貢献するため、敷地内を積極的に緑化している</t>
    <rPh sb="0" eb="2">
      <t>チイキ</t>
    </rPh>
    <rPh sb="3" eb="5">
      <t>リョウコウ</t>
    </rPh>
    <rPh sb="6" eb="8">
      <t>キョジュウ</t>
    </rPh>
    <rPh sb="8" eb="10">
      <t>カンキョウ</t>
    </rPh>
    <rPh sb="11" eb="13">
      <t>ケイセイ</t>
    </rPh>
    <rPh sb="14" eb="16">
      <t>コウケン</t>
    </rPh>
    <rPh sb="21" eb="23">
      <t>シキチ</t>
    </rPh>
    <rPh sb="23" eb="24">
      <t>ナイ</t>
    </rPh>
    <rPh sb="25" eb="28">
      <t>セッキョクテキ</t>
    </rPh>
    <rPh sb="29" eb="31">
      <t>リョクカ</t>
    </rPh>
    <phoneticPr fontId="4"/>
  </si>
  <si>
    <t>SQ3.2.1</t>
    <phoneticPr fontId="4"/>
  </si>
  <si>
    <t>敷地内の緑化</t>
    <rPh sb="0" eb="2">
      <t>シキチ</t>
    </rPh>
    <rPh sb="2" eb="3">
      <t>ナイ</t>
    </rPh>
    <rPh sb="4" eb="6">
      <t>リョクカ</t>
    </rPh>
    <phoneticPr fontId="4"/>
  </si>
  <si>
    <t>11.6.3</t>
    <phoneticPr fontId="4"/>
  </si>
  <si>
    <t>地域の生物多様性に配慮する</t>
    <rPh sb="0" eb="2">
      <t>チイキ</t>
    </rPh>
    <rPh sb="3" eb="5">
      <t>セイブツ</t>
    </rPh>
    <rPh sb="5" eb="8">
      <t>タヨウセイ</t>
    </rPh>
    <rPh sb="9" eb="11">
      <t>ハイリョ</t>
    </rPh>
    <phoneticPr fontId="4"/>
  </si>
  <si>
    <t>地域の良好な居住環境の形成に貢献するため、生物環境に関する工夫や生物多様性の保全に資する取組みを行っている</t>
    <rPh sb="0" eb="2">
      <t>チイキ</t>
    </rPh>
    <rPh sb="3" eb="5">
      <t>リョウコウ</t>
    </rPh>
    <rPh sb="6" eb="8">
      <t>キョジュウ</t>
    </rPh>
    <rPh sb="8" eb="10">
      <t>カンキョウ</t>
    </rPh>
    <rPh sb="11" eb="13">
      <t>ケイセイ</t>
    </rPh>
    <rPh sb="14" eb="16">
      <t>コウケン</t>
    </rPh>
    <rPh sb="21" eb="23">
      <t>セイブツ</t>
    </rPh>
    <rPh sb="23" eb="25">
      <t>カンキョウ</t>
    </rPh>
    <rPh sb="26" eb="27">
      <t>カン</t>
    </rPh>
    <rPh sb="29" eb="31">
      <t>クフウ</t>
    </rPh>
    <rPh sb="32" eb="34">
      <t>セイブツ</t>
    </rPh>
    <rPh sb="34" eb="37">
      <t>タヨウセイ</t>
    </rPh>
    <rPh sb="38" eb="40">
      <t>ホゼン</t>
    </rPh>
    <rPh sb="41" eb="42">
      <t>シ</t>
    </rPh>
    <rPh sb="44" eb="46">
      <t>トリク</t>
    </rPh>
    <rPh sb="48" eb="49">
      <t>オコナ</t>
    </rPh>
    <phoneticPr fontId="4"/>
  </si>
  <si>
    <t>SQ3.2.2</t>
    <phoneticPr fontId="4"/>
  </si>
  <si>
    <t>生物の生息環境の確保</t>
    <rPh sb="0" eb="2">
      <t>セイブツ</t>
    </rPh>
    <rPh sb="3" eb="5">
      <t>セイソク</t>
    </rPh>
    <rPh sb="5" eb="7">
      <t>カンキョウ</t>
    </rPh>
    <rPh sb="8" eb="10">
      <t>カクホ</t>
    </rPh>
    <phoneticPr fontId="4"/>
  </si>
  <si>
    <t>11.6.4</t>
    <phoneticPr fontId="4"/>
  </si>
  <si>
    <t>地域の資源の活用や住文化を継承する</t>
    <phoneticPr fontId="4"/>
  </si>
  <si>
    <t>地域の資源や住文化を継承しながら、地域社会や地域産業との連携に積極的に取組んでいる</t>
    <rPh sb="0" eb="2">
      <t>チイキ</t>
    </rPh>
    <rPh sb="3" eb="5">
      <t>シゲン</t>
    </rPh>
    <rPh sb="6" eb="7">
      <t>ジュウ</t>
    </rPh>
    <rPh sb="7" eb="9">
      <t>ブンカ</t>
    </rPh>
    <rPh sb="10" eb="12">
      <t>ケイショウ</t>
    </rPh>
    <rPh sb="17" eb="19">
      <t>チイキ</t>
    </rPh>
    <rPh sb="19" eb="21">
      <t>シャカイ</t>
    </rPh>
    <rPh sb="22" eb="24">
      <t>チイキ</t>
    </rPh>
    <rPh sb="24" eb="26">
      <t>サンギョウ</t>
    </rPh>
    <rPh sb="28" eb="30">
      <t>レンケイ</t>
    </rPh>
    <rPh sb="31" eb="34">
      <t>セッキョクテキ</t>
    </rPh>
    <rPh sb="35" eb="37">
      <t>トリク</t>
    </rPh>
    <phoneticPr fontId="4"/>
  </si>
  <si>
    <t>SQ3.4</t>
    <phoneticPr fontId="4"/>
  </si>
  <si>
    <t>地域の資源の活用と住文化の継承</t>
    <rPh sb="0" eb="2">
      <t>チイキ</t>
    </rPh>
    <rPh sb="3" eb="5">
      <t>シゲン</t>
    </rPh>
    <rPh sb="6" eb="8">
      <t>カツヨウ</t>
    </rPh>
    <rPh sb="9" eb="10">
      <t>ジュウ</t>
    </rPh>
    <rPh sb="10" eb="12">
      <t>ブンカ</t>
    </rPh>
    <rPh sb="13" eb="15">
      <t>ケイショウ</t>
    </rPh>
    <phoneticPr fontId="4"/>
  </si>
  <si>
    <t>11.7</t>
    <phoneticPr fontId="4"/>
  </si>
  <si>
    <t>地域のレジリエンス性能の向上に貢献する</t>
    <phoneticPr fontId="4"/>
  </si>
  <si>
    <t>11.7.1</t>
    <phoneticPr fontId="4"/>
  </si>
  <si>
    <t>地域の防災性、防犯性の向上に貢献する</t>
    <phoneticPr fontId="4"/>
  </si>
  <si>
    <t>地域の安全な生活環境を形成するため、地域の防災性・防犯性の向上に貢献する工夫を行っている</t>
    <rPh sb="0" eb="2">
      <t>チイキ</t>
    </rPh>
    <rPh sb="3" eb="5">
      <t>アンゼン</t>
    </rPh>
    <rPh sb="6" eb="8">
      <t>セイカツ</t>
    </rPh>
    <rPh sb="8" eb="10">
      <t>カンキョウ</t>
    </rPh>
    <rPh sb="11" eb="13">
      <t>ケイセイ</t>
    </rPh>
    <rPh sb="18" eb="20">
      <t>チイキ</t>
    </rPh>
    <rPh sb="21" eb="24">
      <t>ボウサイセイ</t>
    </rPh>
    <rPh sb="25" eb="28">
      <t>ボウハンセイ</t>
    </rPh>
    <rPh sb="29" eb="31">
      <t>コウジョウ</t>
    </rPh>
    <rPh sb="32" eb="34">
      <t>コウケン</t>
    </rPh>
    <rPh sb="36" eb="38">
      <t>クフウ</t>
    </rPh>
    <rPh sb="39" eb="40">
      <t>オコナ</t>
    </rPh>
    <phoneticPr fontId="4"/>
  </si>
  <si>
    <t>SQ3.3</t>
    <phoneticPr fontId="4"/>
  </si>
  <si>
    <t>地域の安全・安心</t>
    <rPh sb="0" eb="2">
      <t>チイキ</t>
    </rPh>
    <rPh sb="3" eb="5">
      <t>アンゼン</t>
    </rPh>
    <rPh sb="6" eb="8">
      <t>アンシン</t>
    </rPh>
    <phoneticPr fontId="4"/>
  </si>
  <si>
    <t>⑫つくる責任、つかう責任</t>
    <rPh sb="4" eb="6">
      <t>セキニン</t>
    </rPh>
    <rPh sb="10" eb="12">
      <t>セキニン</t>
    </rPh>
    <phoneticPr fontId="4"/>
  </si>
  <si>
    <t>【建設資材等の適正な調達】</t>
    <rPh sb="1" eb="3">
      <t>ケンセツ</t>
    </rPh>
    <rPh sb="3" eb="5">
      <t>シザイ</t>
    </rPh>
    <rPh sb="5" eb="6">
      <t>トウ</t>
    </rPh>
    <rPh sb="7" eb="9">
      <t>テキセイ</t>
    </rPh>
    <rPh sb="10" eb="12">
      <t>チョウタツ</t>
    </rPh>
    <phoneticPr fontId="4"/>
  </si>
  <si>
    <t>12.1</t>
    <phoneticPr fontId="4"/>
  </si>
  <si>
    <t>建設資材等の適正な調達を推進する</t>
    <phoneticPr fontId="4"/>
  </si>
  <si>
    <t>12.1.1</t>
    <phoneticPr fontId="4"/>
  </si>
  <si>
    <t>持続可能な生産体制の整った建材等の調達に取組む</t>
    <phoneticPr fontId="4"/>
  </si>
  <si>
    <t>建設資材の生産地や生産者等の自然環境や社会環境に配慮した調達に取組んでいる
（①または②：取組んでいる　①②とも：積極的に取組んでいる）
①主要な建材の調達時に合法性や持続可能性に関する配慮をしている
　例　・持続可能な森林から産出される木材
　　　 ・その他
②建材の調達時における含有化学物質等の管理に取り組んでいる
　例　・建材等調達時における建材ごとのSDS（Safety Data Sheet）の確認
　　　 ・含有化学物質に関する調達ガイドラインの策定・運用
　　　 ・その他</t>
    <rPh sb="72" eb="73">
      <t>レイ</t>
    </rPh>
    <rPh sb="84" eb="86">
      <t>サンシュツ</t>
    </rPh>
    <rPh sb="130" eb="131">
      <t>タ</t>
    </rPh>
    <rPh sb="131" eb="132">
      <t>レイ</t>
    </rPh>
    <rPh sb="134" eb="136">
      <t>カガク</t>
    </rPh>
    <rPh sb="136" eb="138">
      <t>ブッシツ</t>
    </rPh>
    <rPh sb="139" eb="140">
      <t>カン</t>
    </rPh>
    <rPh sb="149" eb="151">
      <t>サクセイ</t>
    </rPh>
    <rPh sb="153" eb="155">
      <t>ウンヨウ</t>
    </rPh>
    <phoneticPr fontId="4"/>
  </si>
  <si>
    <t>【建設時における資源の有効利用】</t>
    <rPh sb="1" eb="3">
      <t>ケンセツ</t>
    </rPh>
    <rPh sb="3" eb="4">
      <t>ジ</t>
    </rPh>
    <rPh sb="8" eb="10">
      <t>シゲン</t>
    </rPh>
    <rPh sb="11" eb="13">
      <t>ユウコウ</t>
    </rPh>
    <rPh sb="13" eb="15">
      <t>リヨウ</t>
    </rPh>
    <phoneticPr fontId="4"/>
  </si>
  <si>
    <t>12.2</t>
    <phoneticPr fontId="4"/>
  </si>
  <si>
    <t>建設時に省資源、廃棄物抑制に役立つ材料を採用する</t>
    <phoneticPr fontId="4"/>
  </si>
  <si>
    <t>12.2.1</t>
    <phoneticPr fontId="4"/>
  </si>
  <si>
    <t>躯体材料における対策</t>
    <phoneticPr fontId="4"/>
  </si>
  <si>
    <t>建設時の省資源や廃棄物抑制を図るため、構造躯体における工夫を行っている</t>
    <rPh sb="0" eb="2">
      <t>ケンセツ</t>
    </rPh>
    <rPh sb="2" eb="3">
      <t>ジ</t>
    </rPh>
    <rPh sb="4" eb="7">
      <t>ショウシゲン</t>
    </rPh>
    <rPh sb="8" eb="11">
      <t>ハイキブツ</t>
    </rPh>
    <rPh sb="11" eb="13">
      <t>ヨクセイ</t>
    </rPh>
    <rPh sb="14" eb="15">
      <t>ハカ</t>
    </rPh>
    <rPh sb="19" eb="21">
      <t>コウゾウ</t>
    </rPh>
    <rPh sb="21" eb="23">
      <t>クタイ</t>
    </rPh>
    <rPh sb="27" eb="29">
      <t>クフウ</t>
    </rPh>
    <rPh sb="30" eb="31">
      <t>オコナ</t>
    </rPh>
    <phoneticPr fontId="4"/>
  </si>
  <si>
    <t>SLR2.1.1</t>
    <phoneticPr fontId="4"/>
  </si>
  <si>
    <t>12.2.2</t>
    <phoneticPr fontId="4"/>
  </si>
  <si>
    <t>地盤補強材・地業・基礎材料における対策</t>
    <phoneticPr fontId="4"/>
  </si>
  <si>
    <t>建設時の省資源や廃棄物抑制を図るため、地盤補強材・地業・基礎材料における工夫を行っている</t>
    <rPh sb="0" eb="2">
      <t>ケンセツ</t>
    </rPh>
    <rPh sb="2" eb="3">
      <t>ジ</t>
    </rPh>
    <rPh sb="4" eb="7">
      <t>ショウシゲン</t>
    </rPh>
    <rPh sb="8" eb="11">
      <t>ハイキブツ</t>
    </rPh>
    <rPh sb="11" eb="13">
      <t>ヨクセイ</t>
    </rPh>
    <rPh sb="14" eb="15">
      <t>ハカ</t>
    </rPh>
    <rPh sb="19" eb="21">
      <t>ジバン</t>
    </rPh>
    <rPh sb="21" eb="23">
      <t>ホキョウ</t>
    </rPh>
    <rPh sb="23" eb="24">
      <t>ザイ</t>
    </rPh>
    <rPh sb="25" eb="27">
      <t>ジギョウ</t>
    </rPh>
    <rPh sb="28" eb="30">
      <t>キソ</t>
    </rPh>
    <rPh sb="30" eb="32">
      <t>ザイリョウ</t>
    </rPh>
    <rPh sb="36" eb="38">
      <t>クフウ</t>
    </rPh>
    <rPh sb="39" eb="40">
      <t>オコナ</t>
    </rPh>
    <phoneticPr fontId="4"/>
  </si>
  <si>
    <t>SLR2.1.2</t>
    <phoneticPr fontId="4"/>
  </si>
  <si>
    <t>地盤補強材・地業・基礎</t>
    <rPh sb="0" eb="2">
      <t>ジバン</t>
    </rPh>
    <rPh sb="2" eb="4">
      <t>ホキョウ</t>
    </rPh>
    <rPh sb="4" eb="5">
      <t>ザイ</t>
    </rPh>
    <rPh sb="6" eb="8">
      <t>ジギョウ</t>
    </rPh>
    <rPh sb="9" eb="11">
      <t>キソ</t>
    </rPh>
    <phoneticPr fontId="4"/>
  </si>
  <si>
    <t>12.2.3</t>
    <phoneticPr fontId="4"/>
  </si>
  <si>
    <t>外装材における対策</t>
    <phoneticPr fontId="4"/>
  </si>
  <si>
    <t>建設時の省資源や廃棄物抑制を図るため、外装材における工夫を行っている</t>
    <rPh sb="0" eb="2">
      <t>ケンセツ</t>
    </rPh>
    <rPh sb="2" eb="3">
      <t>ジ</t>
    </rPh>
    <rPh sb="4" eb="7">
      <t>ショウシゲン</t>
    </rPh>
    <rPh sb="8" eb="11">
      <t>ハイキブツ</t>
    </rPh>
    <rPh sb="11" eb="13">
      <t>ヨクセイ</t>
    </rPh>
    <rPh sb="14" eb="15">
      <t>ハカ</t>
    </rPh>
    <rPh sb="19" eb="22">
      <t>ガイソウザイ</t>
    </rPh>
    <rPh sb="26" eb="28">
      <t>クフウ</t>
    </rPh>
    <rPh sb="29" eb="30">
      <t>オコナ</t>
    </rPh>
    <phoneticPr fontId="4"/>
  </si>
  <si>
    <t>SLR2.1.3</t>
    <phoneticPr fontId="4"/>
  </si>
  <si>
    <t>外装材</t>
    <rPh sb="0" eb="3">
      <t>ガイソウザイ</t>
    </rPh>
    <phoneticPr fontId="4"/>
  </si>
  <si>
    <t>12.2.4</t>
    <phoneticPr fontId="4"/>
  </si>
  <si>
    <t>内装材における対策</t>
    <phoneticPr fontId="4"/>
  </si>
  <si>
    <t>建設時の省資源や廃棄物抑制を図るため、内装材における工夫を行っている</t>
    <rPh sb="0" eb="2">
      <t>ケンセツ</t>
    </rPh>
    <rPh sb="2" eb="3">
      <t>ジ</t>
    </rPh>
    <rPh sb="4" eb="7">
      <t>ショウシゲン</t>
    </rPh>
    <rPh sb="8" eb="11">
      <t>ハイキブツ</t>
    </rPh>
    <rPh sb="11" eb="13">
      <t>ヨクセイ</t>
    </rPh>
    <rPh sb="14" eb="15">
      <t>ハカ</t>
    </rPh>
    <rPh sb="19" eb="21">
      <t>ナイソウ</t>
    </rPh>
    <rPh sb="21" eb="22">
      <t>ザイ</t>
    </rPh>
    <rPh sb="26" eb="28">
      <t>クフウ</t>
    </rPh>
    <rPh sb="29" eb="30">
      <t>オコナ</t>
    </rPh>
    <phoneticPr fontId="4"/>
  </si>
  <si>
    <t>SLR2.1.4</t>
    <phoneticPr fontId="4"/>
  </si>
  <si>
    <t>内装材</t>
    <rPh sb="0" eb="2">
      <t>ナイソウ</t>
    </rPh>
    <rPh sb="2" eb="3">
      <t>ザイ</t>
    </rPh>
    <phoneticPr fontId="4"/>
  </si>
  <si>
    <t>12.2.5</t>
    <phoneticPr fontId="4"/>
  </si>
  <si>
    <t>外構材における対策</t>
    <phoneticPr fontId="4"/>
  </si>
  <si>
    <t>建設時の省資源を図るため、外構材における工夫を行っている</t>
    <rPh sb="0" eb="2">
      <t>ケンセツ</t>
    </rPh>
    <rPh sb="2" eb="3">
      <t>ジ</t>
    </rPh>
    <rPh sb="4" eb="7">
      <t>ショウシゲン</t>
    </rPh>
    <rPh sb="8" eb="9">
      <t>ハカ</t>
    </rPh>
    <rPh sb="13" eb="15">
      <t>ガイコウ</t>
    </rPh>
    <rPh sb="15" eb="16">
      <t>ザイ</t>
    </rPh>
    <rPh sb="20" eb="22">
      <t>クフウ</t>
    </rPh>
    <rPh sb="23" eb="24">
      <t>オコナ</t>
    </rPh>
    <phoneticPr fontId="4"/>
  </si>
  <si>
    <t>SLR2.1.5</t>
    <phoneticPr fontId="4"/>
  </si>
  <si>
    <t>外構材</t>
    <rPh sb="0" eb="2">
      <t>ガイコウ</t>
    </rPh>
    <rPh sb="2" eb="3">
      <t>ザイ</t>
    </rPh>
    <phoneticPr fontId="4"/>
  </si>
  <si>
    <t>12.3</t>
    <phoneticPr fontId="4"/>
  </si>
  <si>
    <t>建設時における資源の有効利用に取組む</t>
    <phoneticPr fontId="4"/>
  </si>
  <si>
    <t>12.3.1</t>
    <phoneticPr fontId="4"/>
  </si>
  <si>
    <t>躯体材料の生産段階における対策</t>
    <phoneticPr fontId="4"/>
  </si>
  <si>
    <t>資材の生産段階における資源の有効利用に取組んでいる躯体材料を採用している</t>
    <rPh sb="0" eb="2">
      <t>シザイ</t>
    </rPh>
    <rPh sb="3" eb="5">
      <t>セイサン</t>
    </rPh>
    <rPh sb="5" eb="7">
      <t>ダンカイ</t>
    </rPh>
    <rPh sb="11" eb="13">
      <t>シゲン</t>
    </rPh>
    <rPh sb="14" eb="16">
      <t>ユウコウ</t>
    </rPh>
    <rPh sb="16" eb="18">
      <t>リヨウ</t>
    </rPh>
    <rPh sb="19" eb="21">
      <t>トリク</t>
    </rPh>
    <rPh sb="25" eb="27">
      <t>クタイ</t>
    </rPh>
    <rPh sb="27" eb="29">
      <t>ザイリョウ</t>
    </rPh>
    <rPh sb="30" eb="32">
      <t>サイヨウ</t>
    </rPh>
    <phoneticPr fontId="4"/>
  </si>
  <si>
    <t>SLR2.2.1</t>
    <phoneticPr fontId="4"/>
  </si>
  <si>
    <t>生産段階（構造躯体）</t>
    <rPh sb="0" eb="2">
      <t>セイサン</t>
    </rPh>
    <rPh sb="2" eb="4">
      <t>ダンカイ</t>
    </rPh>
    <rPh sb="5" eb="7">
      <t>コウゾウ</t>
    </rPh>
    <rPh sb="7" eb="9">
      <t>クタイ</t>
    </rPh>
    <phoneticPr fontId="4"/>
  </si>
  <si>
    <t>12.3.2</t>
    <phoneticPr fontId="4"/>
  </si>
  <si>
    <t>躯体材料以外の材料の生産段階における対策</t>
    <phoneticPr fontId="4"/>
  </si>
  <si>
    <t>SLR2.2.2</t>
    <phoneticPr fontId="4"/>
  </si>
  <si>
    <t>生産段階（構造躯体以外）</t>
    <rPh sb="0" eb="2">
      <t>セイサン</t>
    </rPh>
    <rPh sb="2" eb="4">
      <t>ダンカイ</t>
    </rPh>
    <rPh sb="5" eb="7">
      <t>コウゾウ</t>
    </rPh>
    <rPh sb="7" eb="9">
      <t>クタイ</t>
    </rPh>
    <rPh sb="9" eb="11">
      <t>イガイ</t>
    </rPh>
    <phoneticPr fontId="4"/>
  </si>
  <si>
    <t>12.3.3</t>
    <phoneticPr fontId="4"/>
  </si>
  <si>
    <t>施工段階における対策</t>
    <phoneticPr fontId="4"/>
  </si>
  <si>
    <t>施工現場における資源の有効利用に関する工夫を行っている</t>
    <rPh sb="0" eb="2">
      <t>セコウ</t>
    </rPh>
    <rPh sb="2" eb="4">
      <t>ゲンバ</t>
    </rPh>
    <rPh sb="8" eb="10">
      <t>シゲン</t>
    </rPh>
    <rPh sb="11" eb="13">
      <t>ユウコウ</t>
    </rPh>
    <rPh sb="13" eb="15">
      <t>リヨウ</t>
    </rPh>
    <rPh sb="16" eb="17">
      <t>カン</t>
    </rPh>
    <rPh sb="19" eb="21">
      <t>クフウ</t>
    </rPh>
    <rPh sb="22" eb="23">
      <t>オコナ</t>
    </rPh>
    <phoneticPr fontId="4"/>
  </si>
  <si>
    <t>SLR2.2.3</t>
    <phoneticPr fontId="4"/>
  </si>
  <si>
    <t>施工段階</t>
    <rPh sb="0" eb="2">
      <t>セコウ</t>
    </rPh>
    <rPh sb="2" eb="4">
      <t>ダンカイ</t>
    </rPh>
    <phoneticPr fontId="4"/>
  </si>
  <si>
    <t>12.3.4</t>
    <phoneticPr fontId="4"/>
  </si>
  <si>
    <t>将来解体時等のリサイクルの推進に配慮する</t>
    <phoneticPr fontId="4"/>
  </si>
  <si>
    <t>将来住宅を解体する際に、部材等をリサイクルしやすくする工夫を行っている</t>
    <phoneticPr fontId="4"/>
  </si>
  <si>
    <t>SLR2.3.1</t>
    <phoneticPr fontId="4"/>
  </si>
  <si>
    <t>使用材料の情報提供</t>
    <rPh sb="0" eb="2">
      <t>シヨウ</t>
    </rPh>
    <rPh sb="2" eb="4">
      <t>ザイリョウ</t>
    </rPh>
    <rPh sb="5" eb="7">
      <t>ジョウホウ</t>
    </rPh>
    <rPh sb="7" eb="9">
      <t>テイキョウ</t>
    </rPh>
    <phoneticPr fontId="4"/>
  </si>
  <si>
    <t>【居住時における資源の有効利用】</t>
    <phoneticPr fontId="4"/>
  </si>
  <si>
    <t>12.4</t>
    <phoneticPr fontId="4"/>
  </si>
  <si>
    <t>居住時における水資源やエネルギーの有効利用に取組む</t>
    <phoneticPr fontId="4"/>
  </si>
  <si>
    <t>12.4.1</t>
    <phoneticPr fontId="4"/>
  </si>
  <si>
    <t>節水器具を採用する</t>
    <phoneticPr fontId="4"/>
  </si>
  <si>
    <t>水資源を有効利用するため、上水使用量を削減する節水対策に取組んでいる</t>
    <rPh sb="0" eb="3">
      <t>ミズシゲン</t>
    </rPh>
    <rPh sb="4" eb="6">
      <t>ユウコウ</t>
    </rPh>
    <rPh sb="6" eb="8">
      <t>リヨウ</t>
    </rPh>
    <rPh sb="13" eb="15">
      <t>ジョウスイ</t>
    </rPh>
    <rPh sb="15" eb="17">
      <t>シヨウ</t>
    </rPh>
    <rPh sb="17" eb="18">
      <t>リョウ</t>
    </rPh>
    <rPh sb="19" eb="21">
      <t>サクゲン</t>
    </rPh>
    <rPh sb="23" eb="25">
      <t>セッスイ</t>
    </rPh>
    <rPh sb="25" eb="27">
      <t>タイサク</t>
    </rPh>
    <rPh sb="28" eb="30">
      <t>トリク</t>
    </rPh>
    <phoneticPr fontId="4"/>
  </si>
  <si>
    <t>12.4.2</t>
    <phoneticPr fontId="4"/>
  </si>
  <si>
    <t>雨水利用設備を採用する</t>
    <phoneticPr fontId="4"/>
  </si>
  <si>
    <t>水資源を保護するため、上水使用量を削減する雨水利用に取組んでいる</t>
    <rPh sb="0" eb="3">
      <t>ミズシゲン</t>
    </rPh>
    <rPh sb="4" eb="6">
      <t>ホゴ</t>
    </rPh>
    <rPh sb="11" eb="13">
      <t>ジョウスイ</t>
    </rPh>
    <rPh sb="13" eb="15">
      <t>シヨウ</t>
    </rPh>
    <rPh sb="15" eb="16">
      <t>リョウ</t>
    </rPh>
    <rPh sb="17" eb="19">
      <t>サクゲン</t>
    </rPh>
    <rPh sb="21" eb="23">
      <t>ウスイ</t>
    </rPh>
    <rPh sb="23" eb="25">
      <t>リヨウ</t>
    </rPh>
    <rPh sb="26" eb="28">
      <t>トリク</t>
    </rPh>
    <phoneticPr fontId="4"/>
  </si>
  <si>
    <t>12.4.3</t>
    <phoneticPr fontId="4"/>
  </si>
  <si>
    <t>暮らしにおける省エネ行動を誘導する</t>
    <phoneticPr fontId="4"/>
  </si>
  <si>
    <t>暮らしにおけるエネルギーの有効利用を推進するため、エネルギー消費を管理・制御する仕組みを導入している</t>
    <phoneticPr fontId="4"/>
  </si>
  <si>
    <t>SLR1.3.2</t>
    <phoneticPr fontId="4"/>
  </si>
  <si>
    <t>エネルギーの管理と制御</t>
    <rPh sb="6" eb="8">
      <t>カンリ</t>
    </rPh>
    <rPh sb="9" eb="11">
      <t>セイギョ</t>
    </rPh>
    <phoneticPr fontId="4"/>
  </si>
  <si>
    <t>⑬気候変動に具体的な対策を</t>
    <phoneticPr fontId="4"/>
  </si>
  <si>
    <t>13.1</t>
    <phoneticPr fontId="4"/>
  </si>
  <si>
    <t>気候変動の緩和に配慮する</t>
    <phoneticPr fontId="4"/>
  </si>
  <si>
    <t>13.1.1</t>
    <phoneticPr fontId="4"/>
  </si>
  <si>
    <t>住宅のライフサイクルCO2を削減する</t>
    <phoneticPr fontId="4"/>
  </si>
  <si>
    <t>住宅の建設から居住、改修、解体・処分までに排出されるライフサイクルCO2を削減するよう取組んでいる</t>
    <rPh sb="0" eb="2">
      <t>ジュウタク</t>
    </rPh>
    <rPh sb="3" eb="5">
      <t>ケンセツ</t>
    </rPh>
    <rPh sb="7" eb="9">
      <t>キョジュウ</t>
    </rPh>
    <rPh sb="10" eb="12">
      <t>カイシュウ</t>
    </rPh>
    <rPh sb="13" eb="15">
      <t>カイタイ</t>
    </rPh>
    <rPh sb="16" eb="18">
      <t>ショブン</t>
    </rPh>
    <rPh sb="21" eb="23">
      <t>ハイシュツ</t>
    </rPh>
    <rPh sb="37" eb="39">
      <t>サクゲン</t>
    </rPh>
    <rPh sb="43" eb="45">
      <t>トリク</t>
    </rPh>
    <phoneticPr fontId="4"/>
  </si>
  <si>
    <t>SLR3.1</t>
    <phoneticPr fontId="4"/>
  </si>
  <si>
    <t>13.2</t>
    <phoneticPr fontId="4"/>
  </si>
  <si>
    <t>気候変動への適応に配慮する</t>
    <phoneticPr fontId="4"/>
  </si>
  <si>
    <t>13.2.1</t>
    <phoneticPr fontId="4"/>
  </si>
  <si>
    <t>ヒートアイランド化の抑制に貢献する</t>
    <phoneticPr fontId="4"/>
  </si>
  <si>
    <t>敷地周辺の温熱環境を改善する取組みを行っている</t>
    <rPh sb="0" eb="2">
      <t>シキチ</t>
    </rPh>
    <rPh sb="2" eb="4">
      <t>シュウヘン</t>
    </rPh>
    <rPh sb="5" eb="7">
      <t>オンネツ</t>
    </rPh>
    <rPh sb="7" eb="9">
      <t>カンキョウ</t>
    </rPh>
    <rPh sb="10" eb="12">
      <t>カイゼン</t>
    </rPh>
    <rPh sb="14" eb="16">
      <t>トリク</t>
    </rPh>
    <rPh sb="18" eb="19">
      <t>オコナ</t>
    </rPh>
    <phoneticPr fontId="4"/>
  </si>
  <si>
    <t>SLR3.3.2</t>
    <phoneticPr fontId="4"/>
  </si>
  <si>
    <t>周辺温熱環境の改善</t>
    <rPh sb="0" eb="2">
      <t>シュウヘン</t>
    </rPh>
    <rPh sb="2" eb="4">
      <t>オンネツ</t>
    </rPh>
    <rPh sb="4" eb="6">
      <t>カンキョウ</t>
    </rPh>
    <rPh sb="7" eb="9">
      <t>カイゼン</t>
    </rPh>
    <phoneticPr fontId="4"/>
  </si>
  <si>
    <t>暴風雨・水害・土砂災害等に備える</t>
    <rPh sb="0" eb="3">
      <t>ボウフウウ</t>
    </rPh>
    <rPh sb="4" eb="6">
      <t>スイガイ</t>
    </rPh>
    <rPh sb="7" eb="9">
      <t>ドシャ</t>
    </rPh>
    <rPh sb="9" eb="11">
      <t>サイガイ</t>
    </rPh>
    <rPh sb="11" eb="12">
      <t>トウ</t>
    </rPh>
    <rPh sb="13" eb="14">
      <t>ソナ</t>
    </rPh>
    <phoneticPr fontId="4"/>
  </si>
  <si>
    <t>13.2.2</t>
    <phoneticPr fontId="4"/>
  </si>
  <si>
    <t>気候変動に伴って増大していると考えられる暴風雨・水害・土砂災害等への対策に取組んでいる
（①または②：取組んでいる　①②とも：積極的に取組んでいる）
①今後増大する可能性のある強風被害に対する備えを行っている
　例　・合わせガラス・雨戸・シャッター等の開口部の飛来物対策
　　　 ・その他
②今後増大する可能性のある水害・土砂災害に対する備えを行っている※
　例　・電気設備などの配慮、避難方法の確認
　　　 ・その他
　　　　※該当しない敷地であれば「○」</t>
    <rPh sb="107" eb="108">
      <t>レイ</t>
    </rPh>
    <rPh sb="144" eb="145">
      <t>タ</t>
    </rPh>
    <rPh sb="180" eb="181">
      <t>レイ</t>
    </rPh>
    <rPh sb="209" eb="210">
      <t>タ</t>
    </rPh>
    <phoneticPr fontId="4"/>
  </si>
  <si>
    <t>⑭海の豊かさを守ろう</t>
    <rPh sb="1" eb="2">
      <t>ウミ</t>
    </rPh>
    <rPh sb="3" eb="4">
      <t>ユタ</t>
    </rPh>
    <rPh sb="7" eb="8">
      <t>マモ</t>
    </rPh>
    <phoneticPr fontId="4"/>
  </si>
  <si>
    <t>ゴール14の内容はゴール12等に集約されています</t>
    <rPh sb="6" eb="8">
      <t>ナイヨウ</t>
    </rPh>
    <rPh sb="14" eb="15">
      <t>トウ</t>
    </rPh>
    <rPh sb="16" eb="18">
      <t>シュウヤク</t>
    </rPh>
    <phoneticPr fontId="4"/>
  </si>
  <si>
    <t>⑮陸の豊かさを守ろう</t>
    <rPh sb="1" eb="2">
      <t>リク</t>
    </rPh>
    <rPh sb="3" eb="4">
      <t>ユタ</t>
    </rPh>
    <rPh sb="7" eb="8">
      <t>マモ</t>
    </rPh>
    <phoneticPr fontId="4"/>
  </si>
  <si>
    <t>15.1</t>
    <phoneticPr fontId="4"/>
  </si>
  <si>
    <t>地域の緑化と水循環の保全に配慮する</t>
    <phoneticPr fontId="4"/>
  </si>
  <si>
    <t>15.1.1</t>
    <phoneticPr fontId="4"/>
  </si>
  <si>
    <t>地域の生物多様性の保全に貢献するため、敷地内を積極的に緑化している</t>
    <rPh sb="0" eb="2">
      <t>チイキ</t>
    </rPh>
    <rPh sb="3" eb="5">
      <t>セイブツ</t>
    </rPh>
    <rPh sb="5" eb="8">
      <t>タヨウセイ</t>
    </rPh>
    <rPh sb="9" eb="11">
      <t>ホゼン</t>
    </rPh>
    <rPh sb="12" eb="14">
      <t>コウケン</t>
    </rPh>
    <rPh sb="19" eb="21">
      <t>シキチ</t>
    </rPh>
    <rPh sb="21" eb="22">
      <t>ナイ</t>
    </rPh>
    <rPh sb="23" eb="26">
      <t>セッキョクテキ</t>
    </rPh>
    <rPh sb="27" eb="29">
      <t>リョクカ</t>
    </rPh>
    <phoneticPr fontId="4"/>
  </si>
  <si>
    <t>15.1.2</t>
    <phoneticPr fontId="4"/>
  </si>
  <si>
    <t>地域の生物多様性の保全に貢献するため、生物の生息環境を確保するよう工夫している</t>
    <rPh sb="0" eb="2">
      <t>チイキ</t>
    </rPh>
    <rPh sb="3" eb="5">
      <t>セイブツ</t>
    </rPh>
    <rPh sb="5" eb="8">
      <t>タヨウセイ</t>
    </rPh>
    <rPh sb="9" eb="11">
      <t>ホゼン</t>
    </rPh>
    <rPh sb="12" eb="14">
      <t>コウケン</t>
    </rPh>
    <rPh sb="19" eb="21">
      <t>セイブツ</t>
    </rPh>
    <rPh sb="22" eb="24">
      <t>セイソク</t>
    </rPh>
    <rPh sb="24" eb="26">
      <t>カンキョウ</t>
    </rPh>
    <rPh sb="27" eb="29">
      <t>カクホ</t>
    </rPh>
    <rPh sb="33" eb="35">
      <t>クフウ</t>
    </rPh>
    <phoneticPr fontId="4"/>
  </si>
  <si>
    <t>15.1.3</t>
    <phoneticPr fontId="4"/>
  </si>
  <si>
    <t>地域の水循環を保全するため、敷地や建物への降雨を浸透させる取組みを行っている
（①または②：取組んでいる　①②とも：積極的に取組んでいる）
①外構部への降雨を浸透させる対策を実施している
　例　・外構への降雨を集水し浸透させる浸透ます、浸透トレンチの設置
　　　 ・外構面積の過半を植栽地や浸透性舗装など透水性を有する仕上げ
　　　 ・その他
②屋根面への降雨を浸透させる対策を実施している
　例　・屋根降雨を浸透させる浸透ます、浸透トレンチの設置
　　　 その他</t>
    <rPh sb="0" eb="2">
      <t>チイキ</t>
    </rPh>
    <rPh sb="3" eb="4">
      <t>ミズ</t>
    </rPh>
    <rPh sb="4" eb="6">
      <t>ジュンカン</t>
    </rPh>
    <rPh sb="7" eb="9">
      <t>ホゼン</t>
    </rPh>
    <rPh sb="96" eb="97">
      <t>レイ</t>
    </rPh>
    <rPh sb="198" eb="199">
      <t>レイ</t>
    </rPh>
    <rPh sb="201" eb="203">
      <t>ヤネ</t>
    </rPh>
    <rPh sb="203" eb="205">
      <t>コウウ</t>
    </rPh>
    <rPh sb="206" eb="208">
      <t>シントウ</t>
    </rPh>
    <rPh sb="232" eb="233">
      <t>タ</t>
    </rPh>
    <phoneticPr fontId="4"/>
  </si>
  <si>
    <t>15.2</t>
    <phoneticPr fontId="4"/>
  </si>
  <si>
    <t>森林の保全に配慮する</t>
    <phoneticPr fontId="4"/>
  </si>
  <si>
    <t>15.2.1</t>
    <phoneticPr fontId="4"/>
  </si>
  <si>
    <t>森林を保全しながら木材資源を有効利用する</t>
    <rPh sb="0" eb="2">
      <t>シンリン</t>
    </rPh>
    <rPh sb="3" eb="5">
      <t>ホゼン</t>
    </rPh>
    <rPh sb="9" eb="11">
      <t>モクザイ</t>
    </rPh>
    <rPh sb="11" eb="13">
      <t>シゲン</t>
    </rPh>
    <rPh sb="14" eb="16">
      <t>ユウコウ</t>
    </rPh>
    <rPh sb="16" eb="18">
      <t>リヨウ</t>
    </rPh>
    <phoneticPr fontId="4"/>
  </si>
  <si>
    <t>持続可能な森林からの木材の調達や古材の利用に取組んでいる
○使用する木材のうち
　過半に採用している：積極的に取組んでいる
　一部に採用している：取組んでいる
　採用していない　　　：取組んでいない
※木質系住宅の場合、構造材、下地材、内装材等が対象
※鉄骨系住宅、コンクリート系住宅の場合、下地材、内装材等に使用する木材が対象</t>
    <rPh sb="31" eb="33">
      <t>シヨウ</t>
    </rPh>
    <rPh sb="35" eb="37">
      <t>モクザイ</t>
    </rPh>
    <rPh sb="42" eb="44">
      <t>カハン</t>
    </rPh>
    <rPh sb="45" eb="47">
      <t>サイヨウ</t>
    </rPh>
    <rPh sb="52" eb="55">
      <t>セッキョクテキ</t>
    </rPh>
    <rPh sb="56" eb="58">
      <t>トリク</t>
    </rPh>
    <rPh sb="64" eb="66">
      <t>イチブ</t>
    </rPh>
    <rPh sb="67" eb="69">
      <t>サイヨウ</t>
    </rPh>
    <rPh sb="74" eb="76">
      <t>トリク</t>
    </rPh>
    <rPh sb="82" eb="84">
      <t>サイヨウ</t>
    </rPh>
    <rPh sb="93" eb="95">
      <t>トリク</t>
    </rPh>
    <rPh sb="102" eb="104">
      <t>モクシツ</t>
    </rPh>
    <rPh sb="104" eb="105">
      <t>ケイ</t>
    </rPh>
    <rPh sb="105" eb="107">
      <t>ジュウタク</t>
    </rPh>
    <rPh sb="108" eb="110">
      <t>バアイ</t>
    </rPh>
    <rPh sb="111" eb="114">
      <t>コウゾウザイ</t>
    </rPh>
    <rPh sb="115" eb="118">
      <t>シタジザイ</t>
    </rPh>
    <rPh sb="119" eb="121">
      <t>ナイソウ</t>
    </rPh>
    <rPh sb="121" eb="122">
      <t>ザイ</t>
    </rPh>
    <rPh sb="122" eb="123">
      <t>トウ</t>
    </rPh>
    <rPh sb="124" eb="126">
      <t>タイショウ</t>
    </rPh>
    <rPh sb="128" eb="130">
      <t>テッコツ</t>
    </rPh>
    <rPh sb="130" eb="131">
      <t>ケイ</t>
    </rPh>
    <rPh sb="131" eb="133">
      <t>ジュウタク</t>
    </rPh>
    <rPh sb="140" eb="141">
      <t>ケイ</t>
    </rPh>
    <rPh sb="141" eb="143">
      <t>ジュウタク</t>
    </rPh>
    <rPh sb="144" eb="146">
      <t>バアイ</t>
    </rPh>
    <rPh sb="147" eb="150">
      <t>シタジザイ</t>
    </rPh>
    <rPh sb="151" eb="153">
      <t>ナイソウ</t>
    </rPh>
    <rPh sb="153" eb="154">
      <t>ザイ</t>
    </rPh>
    <rPh sb="154" eb="155">
      <t>トウ</t>
    </rPh>
    <rPh sb="156" eb="158">
      <t>シヨウ</t>
    </rPh>
    <rPh sb="160" eb="162">
      <t>モクザイ</t>
    </rPh>
    <rPh sb="163" eb="165">
      <t>タイショウ</t>
    </rPh>
    <phoneticPr fontId="4"/>
  </si>
  <si>
    <t>⑯平和と公正をすべての人に</t>
    <rPh sb="1" eb="3">
      <t>ヘイワ</t>
    </rPh>
    <rPh sb="4" eb="6">
      <t>コウセイ</t>
    </rPh>
    <rPh sb="11" eb="12">
      <t>ヒト</t>
    </rPh>
    <phoneticPr fontId="4"/>
  </si>
  <si>
    <t>ゴール16の内容はゴール12等に集約されています</t>
    <rPh sb="6" eb="8">
      <t>ナイヨウ</t>
    </rPh>
    <rPh sb="14" eb="15">
      <t>トウ</t>
    </rPh>
    <rPh sb="16" eb="18">
      <t>シュウヤク</t>
    </rPh>
    <phoneticPr fontId="4"/>
  </si>
  <si>
    <t>⑰パートナーシップで目標を達成しよう</t>
    <rPh sb="10" eb="12">
      <t>モクヒョウ</t>
    </rPh>
    <rPh sb="13" eb="15">
      <t>タッセイ</t>
    </rPh>
    <phoneticPr fontId="4"/>
  </si>
  <si>
    <t>17.1</t>
    <phoneticPr fontId="4"/>
  </si>
  <si>
    <t>近隣とのコミュニケーションを促す</t>
    <phoneticPr fontId="4"/>
  </si>
  <si>
    <t>17.1.1</t>
    <phoneticPr fontId="4"/>
  </si>
  <si>
    <t>近隣とのコミュニケーションを促す工夫に取組む</t>
    <phoneticPr fontId="4"/>
  </si>
  <si>
    <t>居住者と近隣住民や地域社会とコミュニケーションを促す工夫に取組んでいる
（①または②：取組んでいる　①②とも：積極的に取組んでいる）
①近隣とのコミュニケーションのためのスペースを確保している
　例　・立ち話をしやすいアプローチ、玄関周り、腰掛、日陰・雨よけ
　　　 ・外部サービスの受け入れに配慮したプランニング
　　　 ・その他
②通信ネットワーク等を活用した近隣とのコミュニケーションの充実に取組んでいる
　例　 ・ICT技術を活用した見守りサービスの導入
　　 　 ・ネットを利用した地域コミュニケーションサービスの導入
　　　  ・その他</t>
    <rPh sb="69" eb="71">
      <t>キンリン</t>
    </rPh>
    <rPh sb="91" eb="93">
      <t>カクホ</t>
    </rPh>
    <rPh sb="99" eb="100">
      <t>レイ</t>
    </rPh>
    <rPh sb="102" eb="103">
      <t>タ</t>
    </rPh>
    <rPh sb="104" eb="105">
      <t>バナシ</t>
    </rPh>
    <rPh sb="116" eb="118">
      <t>ゲンカン</t>
    </rPh>
    <rPh sb="118" eb="119">
      <t>マワ</t>
    </rPh>
    <rPh sb="121" eb="123">
      <t>コシカケ</t>
    </rPh>
    <rPh sb="124" eb="126">
      <t>ヒカゲ</t>
    </rPh>
    <rPh sb="127" eb="128">
      <t>アマ</t>
    </rPh>
    <rPh sb="166" eb="167">
      <t>タ</t>
    </rPh>
    <rPh sb="183" eb="185">
      <t>キンリン</t>
    </rPh>
    <rPh sb="200" eb="202">
      <t>トリク</t>
    </rPh>
    <rPh sb="274" eb="275">
      <t>タ</t>
    </rPh>
    <phoneticPr fontId="4"/>
  </si>
  <si>
    <t>17.2</t>
    <phoneticPr fontId="4"/>
  </si>
  <si>
    <t>近隣とともに良好な地域環境形成に取組む</t>
    <phoneticPr fontId="4"/>
  </si>
  <si>
    <t>17.2.1</t>
    <phoneticPr fontId="4"/>
  </si>
  <si>
    <t>地域の良好な街並み・景観形成に貢献する</t>
    <phoneticPr fontId="4"/>
  </si>
  <si>
    <t>地域の良好なまちなみや景観の形成に貢献する取組みを行っている</t>
    <rPh sb="0" eb="2">
      <t>チイキ</t>
    </rPh>
    <rPh sb="3" eb="5">
      <t>リョウコウ</t>
    </rPh>
    <rPh sb="11" eb="13">
      <t>ケイカン</t>
    </rPh>
    <rPh sb="14" eb="16">
      <t>ケイセイ</t>
    </rPh>
    <rPh sb="17" eb="19">
      <t>コウケン</t>
    </rPh>
    <rPh sb="21" eb="23">
      <t>トリク</t>
    </rPh>
    <rPh sb="25" eb="26">
      <t>オコナ</t>
    </rPh>
    <phoneticPr fontId="4"/>
  </si>
  <si>
    <t>17.2.2</t>
    <phoneticPr fontId="4"/>
  </si>
  <si>
    <t>地域の緑化に貢献する</t>
    <rPh sb="0" eb="2">
      <t>チイキ</t>
    </rPh>
    <rPh sb="3" eb="5">
      <t>リョクカ</t>
    </rPh>
    <rPh sb="6" eb="8">
      <t>コウケン</t>
    </rPh>
    <phoneticPr fontId="4"/>
  </si>
  <si>
    <t>緑豊かな地域環境の形成に貢献するため、敷地内を積極的に緑化している</t>
    <rPh sb="0" eb="1">
      <t>ミドリ</t>
    </rPh>
    <rPh sb="1" eb="2">
      <t>ユタ</t>
    </rPh>
    <rPh sb="4" eb="6">
      <t>チイキ</t>
    </rPh>
    <rPh sb="6" eb="8">
      <t>カンキョウ</t>
    </rPh>
    <rPh sb="9" eb="11">
      <t>ケイセイ</t>
    </rPh>
    <rPh sb="12" eb="14">
      <t>コウケン</t>
    </rPh>
    <rPh sb="19" eb="21">
      <t>シキチ</t>
    </rPh>
    <rPh sb="21" eb="22">
      <t>ナイ</t>
    </rPh>
    <rPh sb="23" eb="26">
      <t>セッキョクテキ</t>
    </rPh>
    <rPh sb="27" eb="29">
      <t>リョクカ</t>
    </rPh>
    <phoneticPr fontId="4"/>
  </si>
  <si>
    <t>17.2.3</t>
    <phoneticPr fontId="4"/>
  </si>
  <si>
    <t>17.2.4</t>
    <phoneticPr fontId="4"/>
  </si>
  <si>
    <t>既存の自然環境を保全する</t>
    <phoneticPr fontId="4"/>
  </si>
  <si>
    <t>地域環境を形成する要素の一つとして存在してきた敷地内の既存の自然資源を保全する取組みを行っている</t>
    <rPh sb="0" eb="2">
      <t>チイキ</t>
    </rPh>
    <rPh sb="2" eb="4">
      <t>カンキョウ</t>
    </rPh>
    <rPh sb="5" eb="7">
      <t>ケイセイ</t>
    </rPh>
    <rPh sb="9" eb="11">
      <t>ヨウソ</t>
    </rPh>
    <rPh sb="12" eb="13">
      <t>ヒト</t>
    </rPh>
    <rPh sb="17" eb="19">
      <t>ソンザイ</t>
    </rPh>
    <rPh sb="23" eb="25">
      <t>シキチ</t>
    </rPh>
    <rPh sb="25" eb="26">
      <t>ナイ</t>
    </rPh>
    <rPh sb="27" eb="29">
      <t>キソン</t>
    </rPh>
    <rPh sb="30" eb="32">
      <t>シゼン</t>
    </rPh>
    <rPh sb="32" eb="34">
      <t>シゲン</t>
    </rPh>
    <rPh sb="35" eb="37">
      <t>ホゼン</t>
    </rPh>
    <rPh sb="39" eb="41">
      <t>トリク</t>
    </rPh>
    <rPh sb="43" eb="44">
      <t>オコナ</t>
    </rPh>
    <phoneticPr fontId="4"/>
  </si>
  <si>
    <t>SLR3.2.2</t>
    <phoneticPr fontId="4"/>
  </si>
  <si>
    <t>17.2.5</t>
    <phoneticPr fontId="4"/>
  </si>
  <si>
    <t>安全・安心な地域づくりに貢献する</t>
    <phoneticPr fontId="4"/>
  </si>
  <si>
    <t>地域の防災性・防犯性の向上に貢献する工夫を行っている</t>
    <rPh sb="0" eb="2">
      <t>チイキ</t>
    </rPh>
    <rPh sb="3" eb="6">
      <t>ボウサイセイ</t>
    </rPh>
    <rPh sb="7" eb="10">
      <t>ボウハンセイ</t>
    </rPh>
    <rPh sb="11" eb="13">
      <t>コウジョウ</t>
    </rPh>
    <rPh sb="14" eb="16">
      <t>コウケン</t>
    </rPh>
    <rPh sb="18" eb="20">
      <t>クフウ</t>
    </rPh>
    <rPh sb="21" eb="22">
      <t>オコナ</t>
    </rPh>
    <phoneticPr fontId="4"/>
  </si>
  <si>
    <t>17.2.6</t>
    <phoneticPr fontId="4"/>
  </si>
  <si>
    <t>地域インフラの負荷を抑制する</t>
    <phoneticPr fontId="4"/>
  </si>
  <si>
    <t>雨水排水処理や生ごみ処理など、居住時に発生する地域インフラへの負荷を抑制するよう取組んでいる</t>
    <rPh sb="0" eb="2">
      <t>ウスイ</t>
    </rPh>
    <rPh sb="2" eb="4">
      <t>ハイスイ</t>
    </rPh>
    <rPh sb="4" eb="6">
      <t>ショリ</t>
    </rPh>
    <rPh sb="7" eb="8">
      <t>ナマ</t>
    </rPh>
    <rPh sb="10" eb="12">
      <t>ショリ</t>
    </rPh>
    <rPh sb="15" eb="17">
      <t>キョジュウ</t>
    </rPh>
    <rPh sb="17" eb="18">
      <t>ジ</t>
    </rPh>
    <rPh sb="19" eb="21">
      <t>ハッセイ</t>
    </rPh>
    <rPh sb="23" eb="25">
      <t>チイキ</t>
    </rPh>
    <rPh sb="31" eb="33">
      <t>フカ</t>
    </rPh>
    <rPh sb="34" eb="36">
      <t>ヨクセイ</t>
    </rPh>
    <rPh sb="40" eb="42">
      <t>トリク</t>
    </rPh>
    <phoneticPr fontId="4"/>
  </si>
  <si>
    <t>SLR3.2.1</t>
    <phoneticPr fontId="4"/>
  </si>
  <si>
    <t>地域インフラの負荷抑制</t>
    <rPh sb="0" eb="2">
      <t>チイキ</t>
    </rPh>
    <rPh sb="7" eb="9">
      <t>フカ</t>
    </rPh>
    <rPh sb="9" eb="11">
      <t>ヨクセイ</t>
    </rPh>
    <phoneticPr fontId="4"/>
  </si>
  <si>
    <t>17.2.7</t>
    <phoneticPr fontId="4"/>
  </si>
  <si>
    <t>騒音・振動・排気・排熱を低減させる</t>
    <phoneticPr fontId="4"/>
  </si>
  <si>
    <t>近隣とお互いに快適な生活を守るため、敷地内から発生する騒音、振動、排気、排熱等に配慮している</t>
    <rPh sb="0" eb="2">
      <t>キンリン</t>
    </rPh>
    <rPh sb="4" eb="5">
      <t>タガ</t>
    </rPh>
    <rPh sb="7" eb="9">
      <t>カイテキ</t>
    </rPh>
    <rPh sb="10" eb="12">
      <t>セイカツ</t>
    </rPh>
    <rPh sb="13" eb="14">
      <t>マモ</t>
    </rPh>
    <rPh sb="18" eb="20">
      <t>シキチ</t>
    </rPh>
    <rPh sb="20" eb="21">
      <t>ナイ</t>
    </rPh>
    <rPh sb="23" eb="25">
      <t>ハッセイ</t>
    </rPh>
    <rPh sb="27" eb="29">
      <t>ソウオン</t>
    </rPh>
    <rPh sb="30" eb="32">
      <t>シンドウ</t>
    </rPh>
    <rPh sb="33" eb="35">
      <t>ハイキ</t>
    </rPh>
    <rPh sb="36" eb="38">
      <t>ハイネツ</t>
    </rPh>
    <rPh sb="38" eb="39">
      <t>トウ</t>
    </rPh>
    <rPh sb="40" eb="42">
      <t>ハイリョ</t>
    </rPh>
    <phoneticPr fontId="4"/>
  </si>
  <si>
    <t>17.2.8</t>
    <phoneticPr fontId="4"/>
  </si>
  <si>
    <t>地域の温熱環境を改善する</t>
    <phoneticPr fontId="4"/>
  </si>
  <si>
    <t>地域の温熱環境の改善に貢献する取組みを行っている</t>
    <rPh sb="0" eb="2">
      <t>チイキ</t>
    </rPh>
    <rPh sb="3" eb="5">
      <t>オンネツ</t>
    </rPh>
    <rPh sb="5" eb="7">
      <t>カンキョウ</t>
    </rPh>
    <rPh sb="8" eb="10">
      <t>カイゼン</t>
    </rPh>
    <rPh sb="11" eb="13">
      <t>コウケン</t>
    </rPh>
    <rPh sb="15" eb="17">
      <t>トリク</t>
    </rPh>
    <rPh sb="19" eb="20">
      <t>オコナ</t>
    </rPh>
    <phoneticPr fontId="4"/>
  </si>
  <si>
    <t>SDGs</t>
    <phoneticPr fontId="4"/>
  </si>
  <si>
    <t>ゴール
スコア</t>
  </si>
  <si>
    <t>閾値</t>
    <rPh sb="0" eb="2">
      <t>イキチ</t>
    </rPh>
    <phoneticPr fontId="4"/>
  </si>
  <si>
    <t>チェック</t>
    <phoneticPr fontId="4"/>
  </si>
  <si>
    <t>　</t>
  </si>
  <si>
    <t>エラー</t>
    <phoneticPr fontId="4"/>
  </si>
  <si>
    <t>総合点</t>
    <rPh sb="0" eb="2">
      <t>ソウゴウ</t>
    </rPh>
    <rPh sb="2" eb="3">
      <t>テン</t>
    </rPh>
    <phoneticPr fontId="149"/>
  </si>
  <si>
    <t>ゴール3</t>
    <phoneticPr fontId="149"/>
  </si>
  <si>
    <t>ゴール11</t>
    <phoneticPr fontId="149"/>
  </si>
  <si>
    <t>ゴール17</t>
  </si>
  <si>
    <t>　　　　取組み状況の入力に誤りがあります。赤字部分を修正してください。</t>
    <phoneticPr fontId="4"/>
  </si>
  <si>
    <r>
      <t xml:space="preserve">2-3 </t>
    </r>
    <r>
      <rPr>
        <b/>
        <sz val="12"/>
        <color rgb="FFFFFFFF"/>
        <rFont val="ＭＳ Ｐゴシック"/>
        <family val="2"/>
        <charset val="128"/>
      </rPr>
      <t>建築環境</t>
    </r>
    <r>
      <rPr>
        <b/>
        <sz val="12"/>
        <color indexed="9"/>
        <rFont val="Arial"/>
        <family val="2"/>
      </rPr>
      <t>SDGs</t>
    </r>
    <r>
      <rPr>
        <b/>
        <sz val="12"/>
        <color rgb="FFFFFFFF"/>
        <rFont val="ＭＳ Ｐゴシック"/>
        <family val="2"/>
        <charset val="128"/>
      </rPr>
      <t>チェックリスト評価結果</t>
    </r>
    <phoneticPr fontId="4"/>
  </si>
  <si>
    <t>上表、運用段階の④(b)における、調整後排出係数を用いた場合の基礎排出量との差の計算例は以下のとおり。</t>
    <rPh sb="0" eb="2">
      <t>ジョウヒョウ</t>
    </rPh>
    <rPh sb="3" eb="5">
      <t>ウンヨウ</t>
    </rPh>
    <rPh sb="5" eb="7">
      <t>ダンカイ</t>
    </rPh>
    <rPh sb="17" eb="20">
      <t>チョウセイゴ</t>
    </rPh>
    <rPh sb="20" eb="22">
      <t>ハイシュツ</t>
    </rPh>
    <rPh sb="22" eb="24">
      <t>ケイスウ</t>
    </rPh>
    <rPh sb="25" eb="26">
      <t>モチ</t>
    </rPh>
    <rPh sb="28" eb="30">
      <t>バアイ</t>
    </rPh>
    <rPh sb="31" eb="33">
      <t>キソ</t>
    </rPh>
    <rPh sb="33" eb="35">
      <t>ハイシュツ</t>
    </rPh>
    <rPh sb="35" eb="36">
      <t>リョウ</t>
    </rPh>
    <rPh sb="38" eb="39">
      <t>サ</t>
    </rPh>
    <rPh sb="40" eb="42">
      <t>ケイサン</t>
    </rPh>
    <rPh sb="42" eb="43">
      <t>レイ</t>
    </rPh>
    <rPh sb="44" eb="46">
      <t>イカ</t>
    </rPh>
    <phoneticPr fontId="4"/>
  </si>
  <si>
    <t>基礎排出係数</t>
    <rPh sb="0" eb="2">
      <t>キソ</t>
    </rPh>
    <rPh sb="2" eb="4">
      <t>ハイシュツ</t>
    </rPh>
    <rPh sb="4" eb="6">
      <t>ケイスウ</t>
    </rPh>
    <phoneticPr fontId="4"/>
  </si>
  <si>
    <t>基礎排出係数を用いた「③上記+②以外のオンサイト手法」</t>
    <rPh sb="0" eb="2">
      <t>キソ</t>
    </rPh>
    <rPh sb="2" eb="4">
      <t>ハイシュツ</t>
    </rPh>
    <rPh sb="4" eb="6">
      <t>ケイスウ</t>
    </rPh>
    <rPh sb="7" eb="8">
      <t>モチ</t>
    </rPh>
    <phoneticPr fontId="4"/>
  </si>
  <si>
    <t>基礎排出量-調整後排出量</t>
    <rPh sb="0" eb="2">
      <t>キソ</t>
    </rPh>
    <rPh sb="2" eb="4">
      <t>ハイシュツ</t>
    </rPh>
    <rPh sb="4" eb="5">
      <t>リョウ</t>
    </rPh>
    <rPh sb="6" eb="9">
      <t>チョウセイゴ</t>
    </rPh>
    <rPh sb="9" eb="11">
      <t>ハイシュツ</t>
    </rPh>
    <rPh sb="11" eb="12">
      <t>リョウ</t>
    </rPh>
    <phoneticPr fontId="4"/>
  </si>
  <si>
    <t>大項目スコア</t>
    <rPh sb="0" eb="3">
      <t>ダイコウモク</t>
    </rPh>
    <phoneticPr fontId="4"/>
  </si>
  <si>
    <t>建築環境SDGsチェックリスト（戸建版）の評価項目</t>
    <rPh sb="0" eb="2">
      <t>ケンチク</t>
    </rPh>
    <rPh sb="2" eb="4">
      <t>カンキョウ</t>
    </rPh>
    <rPh sb="16" eb="18">
      <t>コダテ</t>
    </rPh>
    <rPh sb="18" eb="19">
      <t>バン</t>
    </rPh>
    <rPh sb="21" eb="23">
      <t>ヒョウカ</t>
    </rPh>
    <rPh sb="23" eb="25">
      <t>コウモク</t>
    </rPh>
    <phoneticPr fontId="4"/>
  </si>
  <si>
    <t>5点満
点換算</t>
    <rPh sb="1" eb="2">
      <t>テン</t>
    </rPh>
    <rPh sb="2" eb="3">
      <t>マン</t>
    </rPh>
    <rPh sb="4" eb="5">
      <t>テン</t>
    </rPh>
    <rPh sb="5" eb="7">
      <t>カンサン</t>
    </rPh>
    <phoneticPr fontId="149"/>
  </si>
  <si>
    <r>
      <t>Ring</t>
    </r>
    <r>
      <rPr>
        <sz val="11"/>
        <color rgb="FFFF0000"/>
        <rFont val="ＭＳ Ｐゴシック"/>
        <family val="2"/>
        <charset val="128"/>
      </rPr>
      <t>閾値</t>
    </r>
    <phoneticPr fontId="4"/>
  </si>
  <si>
    <t>○○</t>
    <phoneticPr fontId="4"/>
  </si>
  <si>
    <t>○○○</t>
    <phoneticPr fontId="4"/>
  </si>
  <si>
    <t>○○○○</t>
    <phoneticPr fontId="4"/>
  </si>
  <si>
    <t>○○○○○</t>
    <phoneticPr fontId="4"/>
  </si>
  <si>
    <t>以上</t>
    <rPh sb="0" eb="2">
      <t>イジョウ</t>
    </rPh>
    <phoneticPr fontId="4"/>
  </si>
  <si>
    <t>未満</t>
    <rPh sb="0" eb="2">
      <t>ミマン</t>
    </rPh>
    <phoneticPr fontId="4"/>
  </si>
  <si>
    <t>（該当するレベルなし）</t>
    <phoneticPr fontId="4"/>
  </si>
  <si>
    <t>感染症に備える</t>
    <rPh sb="0" eb="3">
      <t>カンセンショウ</t>
    </rPh>
    <rPh sb="4" eb="5">
      <t>ソナ</t>
    </rPh>
    <phoneticPr fontId="4"/>
  </si>
  <si>
    <t>以下のいずれかに取組んでいる。
①災害発生時に、住戸内の避難時の経路となる廊下や階段等に、停電時に自動点灯する照明を設置している。
②災害発生時に、住宅内から屋外に容易に脱出可能なドアや掃出し窓等を2箇所以上設置している。あるいは玄関ドアを耐震ドアとしている。</t>
    <phoneticPr fontId="4"/>
  </si>
  <si>
    <t>以下のいずれか、あるいは両方に取組んでいる。
①防災備蓄品等の収納について、居住者に適切な規模や管理のしやすさ、避難時の持ち出しやすさなどを工夫している。
②災害後に電気やガス、水道などが停止した場合にも、電気や湯などを利用できるよう対策している。</t>
    <phoneticPr fontId="4"/>
  </si>
  <si>
    <t>４．災害発生後の生活継続を支える</t>
    <phoneticPr fontId="4"/>
  </si>
  <si>
    <t>３．屋外への避難ルートを確保する</t>
    <phoneticPr fontId="4"/>
  </si>
  <si>
    <t>１．災害情報の入手方法を確保する</t>
    <phoneticPr fontId="4"/>
  </si>
  <si>
    <t>２．家具等の安全対策を行う</t>
    <phoneticPr fontId="4"/>
  </si>
  <si>
    <t>①～②のいずれかに取組んでいる。
①敷地に関連する最新のハザード情報を確認し、居住者に提供している。
②当該自治体が整備している戸別に災害情報を提供するシステム等に対応している。</t>
    <rPh sb="9" eb="11">
      <t>トリク</t>
    </rPh>
    <phoneticPr fontId="4"/>
  </si>
  <si>
    <t>以下のいずれかに取組んでいる。
①主たる居室において、大型家具等の転倒を防止するため、壁補強や固定下地を設置している。
②主たる居室の作り付け収納について、収納物やガラス扉の破片などの飛散防止対策を行っている。</t>
    <phoneticPr fontId="4"/>
  </si>
  <si>
    <t>適切な照明計画</t>
    <rPh sb="0" eb="2">
      <t>テキセツ</t>
    </rPh>
    <rPh sb="3" eb="7">
      <t>ショウメイケイカク</t>
    </rPh>
    <phoneticPr fontId="4"/>
  </si>
  <si>
    <t>（該当するレベルなし）</t>
    <rPh sb="1" eb="3">
      <t>ガイトウ</t>
    </rPh>
    <phoneticPr fontId="4"/>
  </si>
  <si>
    <t>レベル３を満たさない。</t>
    <rPh sb="5" eb="6">
      <t>ミ</t>
    </rPh>
    <phoneticPr fontId="4"/>
  </si>
  <si>
    <t>住宅内外すべての空間で、「視覚的安全性」に配慮され計画されている。</t>
    <phoneticPr fontId="4"/>
  </si>
  <si>
    <t>レベル3を満たした上で評価する取組みのうち１つ配慮され計画されている。</t>
    <phoneticPr fontId="4"/>
  </si>
  <si>
    <t>レベル3を満たした上で評価する取組みのうち２つ配慮され計画されている。</t>
    <phoneticPr fontId="4"/>
  </si>
  <si>
    <t>１．複数照明による配灯計画</t>
    <phoneticPr fontId="4"/>
  </si>
  <si>
    <t>２．調光・調色制御</t>
    <phoneticPr fontId="4"/>
  </si>
  <si>
    <t>３．自動オン・オフ制御</t>
    <phoneticPr fontId="4"/>
  </si>
  <si>
    <t>居間を含む一体的空間で、多様な行為・生活シーンに配慮し、全般照明と局部照明・補助照明を組み合わすなど複数照明の使い分けが可能である。</t>
    <phoneticPr fontId="4"/>
  </si>
  <si>
    <t>居間を含む一体的空間で、在室者が多様な生活シーンに合わせ複数の器具の調光・調色制御が可能である。</t>
    <phoneticPr fontId="4"/>
  </si>
  <si>
    <t>暗がりの移動時に廊下や階段、玄関等でスイッチ操作の不要なセンサー付照明や自動消灯機能付照明を活用して安全性や利便性を高めている。</t>
    <phoneticPr fontId="4"/>
  </si>
  <si>
    <t>その１．
アプローチ部の段差解消</t>
    <phoneticPr fontId="4"/>
  </si>
  <si>
    <t>その２．
怪我や溺水を防止する対策</t>
    <phoneticPr fontId="4"/>
  </si>
  <si>
    <t>車いすで玄関等出入り口からの出入りができるよう、外部から玄関等へのアプローチ部にスロープや段差解消機を設けている。</t>
    <phoneticPr fontId="4"/>
  </si>
  <si>
    <t>転倒・衝突時の怪我や入浴時の溺水等を防止する対策を講じている。
例）　浴室での転倒・溺水を防ぐ対策を講じている。
　　　　・滑りにくい洗い場の床や転倒や溺水しにくい浴槽の仕様
例）　転倒時や衝突時にけがをしにくい対策や、指詰め・指はさみを防ぐ対策を講じている。
　　　　・壁の凸部、上がり框や手すり・腰壁の笠木等の角の面取り
　　　　・ドア、引き戸、収納扉等の指詰め・指はさみを防止する仕様（ソフトクローズ、パッキン等）</t>
    <phoneticPr fontId="4"/>
  </si>
  <si>
    <t>&lt;植栽等の維持管理&gt;</t>
    <rPh sb="1" eb="4">
      <t>ショクサイトウ</t>
    </rPh>
    <rPh sb="5" eb="9">
      <t>イジカンリ</t>
    </rPh>
    <phoneticPr fontId="4"/>
  </si>
  <si>
    <t>植栽等（生物の生息環境）の維持管理計画を提案している。</t>
    <phoneticPr fontId="4"/>
  </si>
  <si>
    <t>一次エネルギー消費量削減率とは、H28年エネルギー消費性能基準における基準一次エネルギー消費量から設計一次エネルギー消費量を減じた値の基準一次エネルギー消費量に対する比率。（ともに家電等のエネルギー消費量を除く）</t>
    <rPh sb="0" eb="2">
      <t>イチジ</t>
    </rPh>
    <rPh sb="7" eb="10">
      <t>ショウヒリョウ</t>
    </rPh>
    <rPh sb="10" eb="13">
      <t>サクゲンリツ</t>
    </rPh>
    <rPh sb="19" eb="20">
      <t>ネン</t>
    </rPh>
    <rPh sb="25" eb="27">
      <t>ショウヒ</t>
    </rPh>
    <rPh sb="27" eb="29">
      <t>セイノウ</t>
    </rPh>
    <rPh sb="29" eb="31">
      <t>キジュン</t>
    </rPh>
    <rPh sb="35" eb="39">
      <t>キジュンイチジ</t>
    </rPh>
    <rPh sb="44" eb="47">
      <t>ショウヒリョウ</t>
    </rPh>
    <rPh sb="49" eb="53">
      <t>セッケイイチジ</t>
    </rPh>
    <rPh sb="58" eb="61">
      <t>ショウヒリョウ</t>
    </rPh>
    <rPh sb="62" eb="63">
      <t>ゲン</t>
    </rPh>
    <rPh sb="65" eb="66">
      <t>アタイ</t>
    </rPh>
    <rPh sb="67" eb="71">
      <t>キジュンイチジ</t>
    </rPh>
    <rPh sb="76" eb="79">
      <t>ショウヒリョウ</t>
    </rPh>
    <rPh sb="80" eb="81">
      <t>タイ</t>
    </rPh>
    <phoneticPr fontId="4"/>
  </si>
  <si>
    <t>削減率に基づくスコア換算</t>
    <rPh sb="0" eb="2">
      <t>サクゲン</t>
    </rPh>
    <rPh sb="2" eb="3">
      <t>リツ</t>
    </rPh>
    <rPh sb="4" eb="5">
      <t>モト</t>
    </rPh>
    <rPh sb="10" eb="12">
      <t>カンサン</t>
    </rPh>
    <phoneticPr fontId="4"/>
  </si>
  <si>
    <t>レベル４（誘導仕様基準）</t>
    <rPh sb="5" eb="7">
      <t>ユウドウ</t>
    </rPh>
    <rPh sb="7" eb="9">
      <t>シヨウ</t>
    </rPh>
    <rPh sb="9" eb="11">
      <t>キジュン</t>
    </rPh>
    <phoneticPr fontId="4"/>
  </si>
  <si>
    <t>レベル２（仕様基準）</t>
    <rPh sb="5" eb="7">
      <t>シヨウ</t>
    </rPh>
    <rPh sb="7" eb="9">
      <t>キジュン</t>
    </rPh>
    <phoneticPr fontId="4"/>
  </si>
  <si>
    <t>「住宅部分の外壁、窓等を通しての熱の損失の防止に関する基準及び一次エネルギー消費量に関する基準（令和4年国土交通省告示1105号）」を満たす場合はレベル２、「」を満たす場合はレベル４住宅部分の外壁、窓等を通しての熱の損失の防止に関する誘導基準及び一次エネルギー消費量に関する誘導基準（令和4年国土交通省告示1106号）」と評価することができる。上記を満たさない場合はレベル１を選択す る。</t>
    <rPh sb="81" eb="82">
      <t>ミ</t>
    </rPh>
    <rPh sb="84" eb="86">
      <t>バアイ</t>
    </rPh>
    <phoneticPr fontId="4"/>
  </si>
  <si>
    <t>太陽光発電設備を設置しない。または、設置するがレベル４を満たさない。</t>
    <rPh sb="0" eb="7">
      <t>タイヨウコウハツデンセツビ</t>
    </rPh>
    <rPh sb="8" eb="10">
      <t>セッチ</t>
    </rPh>
    <rPh sb="18" eb="20">
      <t>セッチ</t>
    </rPh>
    <rPh sb="28" eb="29">
      <t>ミ</t>
    </rPh>
    <phoneticPr fontId="4"/>
  </si>
  <si>
    <t>生産・加工段階で副産物の発生抑制、リサイクル推進に取組んでいる構造躯体用部材以外の建材を1つあるいは2つ採用するよう設計図書等で指示されているか、実際の取組みが行われている。</t>
    <phoneticPr fontId="4"/>
  </si>
  <si>
    <t>施工段階における副産物の発生抑制、リサイクル推進に対する取り組みの指示がなく、環境配慮に関する取組みも行われていない。</t>
    <phoneticPr fontId="4"/>
  </si>
  <si>
    <t>住まい方で災害に備える</t>
    <rPh sb="0" eb="1">
      <t>ス</t>
    </rPh>
    <rPh sb="3" eb="4">
      <t>カタ</t>
    </rPh>
    <rPh sb="5" eb="7">
      <t>サイガイ</t>
    </rPh>
    <rPh sb="8" eb="9">
      <t>ソナ</t>
    </rPh>
    <phoneticPr fontId="4"/>
  </si>
  <si>
    <t>1.3</t>
    <phoneticPr fontId="4"/>
  </si>
  <si>
    <t>日本住宅性能表示基準「5-1断熱等性能等級」における等級３相当である。</t>
  </si>
  <si>
    <t>日本住宅性能表示基準「5-1断熱等性能等級」における等級４相当である。</t>
  </si>
  <si>
    <t>日本住宅性能表示基準「5-1断熱等性能等級」における等級５相当である。</t>
  </si>
  <si>
    <t>日本住宅性能表示基準「5-1断熱等性能等級」における等級６相当以上である。</t>
    <rPh sb="31" eb="33">
      <t>イジョウ</t>
    </rPh>
    <phoneticPr fontId="4"/>
  </si>
  <si>
    <t>評価する取組みNo.1～4をそれぞれ満たすには、①～②または①～③のすべての内容を満たす必要がある。</t>
    <phoneticPr fontId="4"/>
  </si>
  <si>
    <t>レベル３を満たさない。</t>
  </si>
  <si>
    <t>評価する取組み1～4のうち、1つに取組んでいる。</t>
    <phoneticPr fontId="4"/>
  </si>
  <si>
    <t>評価する取組み1～4のうち、2つに取組んでいる。</t>
    <phoneticPr fontId="4"/>
  </si>
  <si>
    <t>評価する取組み1～4のうち、3つ以上に取組んでいる。</t>
    <phoneticPr fontId="4"/>
  </si>
  <si>
    <t>外部からの病原体の持ち込みを防ぐ</t>
    <phoneticPr fontId="4"/>
  </si>
  <si>
    <t>①帰宅時に速やかに手洗い・手指消毒ができる</t>
    <phoneticPr fontId="4"/>
  </si>
  <si>
    <t>②帰宅時に速やかに着ていた衣服を着替えられる</t>
    <phoneticPr fontId="4"/>
  </si>
  <si>
    <t>室内での病原体の拡散を抑制する</t>
    <phoneticPr fontId="4"/>
  </si>
  <si>
    <t>①居室で十分な換気ができる</t>
    <phoneticPr fontId="4"/>
  </si>
  <si>
    <t>②家族間の間接的な接触頻度を減らすことができる</t>
    <phoneticPr fontId="4"/>
  </si>
  <si>
    <t>③頻繁に触れる箇所を清拭清掃できる</t>
    <phoneticPr fontId="4"/>
  </si>
  <si>
    <t>感染拡大時に、来訪者との直接対面を避けて応対できる</t>
    <phoneticPr fontId="4"/>
  </si>
  <si>
    <t>①直接対面せずに来訪者の応対ができる</t>
    <phoneticPr fontId="4"/>
  </si>
  <si>
    <t>②直接対面せずに配達物を受け取れる</t>
    <phoneticPr fontId="4"/>
  </si>
  <si>
    <t>感染拡大時に、外出を控えることができる</t>
    <phoneticPr fontId="4"/>
  </si>
  <si>
    <t>①同居家族がそれぞれテレワーク/テレスタディをできる</t>
    <phoneticPr fontId="4"/>
  </si>
  <si>
    <t>②生活必需品をストックしておくことができる</t>
    <phoneticPr fontId="4"/>
  </si>
  <si>
    <t>③公共交通機関の利用を控えることができる</t>
    <phoneticPr fontId="4"/>
  </si>
  <si>
    <t>適切な照明計画</t>
    <phoneticPr fontId="4"/>
  </si>
  <si>
    <t>犯罪に備える</t>
    <phoneticPr fontId="4"/>
  </si>
  <si>
    <t>評価する取組みの１～６のうち、何れか１つ以上に取組んでいる。</t>
    <phoneticPr fontId="4"/>
  </si>
  <si>
    <t>評価する取組みの１～６のうち、何れか３つ以上に取組んでいる。</t>
    <phoneticPr fontId="4"/>
  </si>
  <si>
    <t>生産・施工段階における廃棄物削減等の環境配慮</t>
    <phoneticPr fontId="4"/>
  </si>
  <si>
    <t>a（傾き）</t>
    <rPh sb="2" eb="3">
      <t>カタム</t>
    </rPh>
    <phoneticPr fontId="4"/>
  </si>
  <si>
    <t>ｂ（切片）</t>
    <rPh sb="2" eb="4">
      <t>セッペン</t>
    </rPh>
    <phoneticPr fontId="4"/>
  </si>
  <si>
    <t>BEI</t>
    <phoneticPr fontId="4"/>
  </si>
  <si>
    <t>↓BEI換算</t>
    <rPh sb="4" eb="6">
      <t>カンサン</t>
    </rPh>
    <phoneticPr fontId="4"/>
  </si>
  <si>
    <r>
      <t>　■使用評価マニュアル：　LCCM住宅部門の基本要件（LCCO</t>
    </r>
    <r>
      <rPr>
        <vertAlign val="subscript"/>
        <sz val="9"/>
        <rFont val="ＭＳ Ｐゴシック"/>
        <family val="3"/>
        <charset val="128"/>
      </rPr>
      <t>2</t>
    </r>
    <r>
      <rPr>
        <sz val="9"/>
        <rFont val="ＭＳ Ｐゴシック"/>
        <family val="3"/>
        <charset val="128"/>
      </rPr>
      <t>）適合判定ツール マニュアル　　　 ■使用評価ソフト：　LCCM_2019v1.0</t>
    </r>
    <phoneticPr fontId="4"/>
  </si>
  <si>
    <r>
      <t>t-CO</t>
    </r>
    <r>
      <rPr>
        <vertAlign val="subscript"/>
        <sz val="11"/>
        <rFont val="ＭＳ Ｐゴシック"/>
        <family val="3"/>
        <charset val="128"/>
      </rPr>
      <t>2</t>
    </r>
    <r>
      <rPr>
        <sz val="11"/>
        <rFont val="ＭＳ Ｐゴシック"/>
        <family val="3"/>
        <charset val="128"/>
      </rPr>
      <t>/kWh</t>
    </r>
    <phoneticPr fontId="4"/>
  </si>
  <si>
    <t>文章</t>
    <rPh sb="0" eb="2">
      <t>ブンショウ</t>
    </rPh>
    <phoneticPr fontId="4"/>
  </si>
  <si>
    <r>
      <t>　B.設計一次エネルギー消費量</t>
    </r>
    <r>
      <rPr>
        <sz val="11"/>
        <color rgb="FFFF0000"/>
        <rFont val="ＭＳ Ｐゴシック"/>
        <family val="3"/>
        <charset val="128"/>
      </rPr>
      <t>（合計：CGSを対象とする場合）</t>
    </r>
    <rPh sb="16" eb="18">
      <t>ゴウケイ</t>
    </rPh>
    <rPh sb="23" eb="25">
      <t>タイショウ</t>
    </rPh>
    <rPh sb="28" eb="30">
      <t>バアイ</t>
    </rPh>
    <phoneticPr fontId="4"/>
  </si>
  <si>
    <t>　F.発電量（太陽光発電）</t>
    <rPh sb="3" eb="5">
      <t>ハツデン</t>
    </rPh>
    <rPh sb="5" eb="6">
      <t>リョウ</t>
    </rPh>
    <rPh sb="7" eb="10">
      <t>タイヨウコウ</t>
    </rPh>
    <rPh sb="10" eb="12">
      <t>ハツデン</t>
    </rPh>
    <phoneticPr fontId="149"/>
  </si>
  <si>
    <t>　C.コジェネ設備の売電量に係る控除量　　※マイナス表記</t>
    <rPh sb="26" eb="28">
      <t>ヒョウキ</t>
    </rPh>
    <phoneticPr fontId="4"/>
  </si>
  <si>
    <t>　G.売電量（コージェネレーション）</t>
    <phoneticPr fontId="4"/>
  </si>
  <si>
    <t>　D.その他の設備</t>
    <phoneticPr fontId="4"/>
  </si>
  <si>
    <t>電力（実排出係数）</t>
    <rPh sb="0" eb="2">
      <t>デンリョク</t>
    </rPh>
    <rPh sb="3" eb="4">
      <t>ジツ</t>
    </rPh>
    <rPh sb="4" eb="6">
      <t>ハイシュツ</t>
    </rPh>
    <rPh sb="6" eb="8">
      <t>ケイスウ</t>
    </rPh>
    <phoneticPr fontId="3"/>
  </si>
  <si>
    <t>DHC</t>
  </si>
  <si>
    <t>熱</t>
    <rPh sb="0" eb="1">
      <t>ネツ</t>
    </rPh>
    <phoneticPr fontId="4"/>
  </si>
  <si>
    <t>DHC</t>
    <phoneticPr fontId="4"/>
  </si>
  <si>
    <t>基準一次エネルギー（その他含む）MJ</t>
    <rPh sb="0" eb="4">
      <t>キジュンイチジ</t>
    </rPh>
    <rPh sb="12" eb="13">
      <t>タ</t>
    </rPh>
    <rPh sb="13" eb="14">
      <t>フク</t>
    </rPh>
    <phoneticPr fontId="4"/>
  </si>
  <si>
    <t>※その他</t>
    <rPh sb="3" eb="4">
      <t>タ</t>
    </rPh>
    <phoneticPr fontId="4"/>
  </si>
  <si>
    <t>MJ</t>
    <phoneticPr fontId="4"/>
  </si>
  <si>
    <t>※面積</t>
    <rPh sb="1" eb="3">
      <t>メンセキ</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</si>
  <si>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</si>
  <si>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</si>
  <si>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</si>
  <si>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</si>
  <si>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</si>
  <si>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</si>
  <si>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</si>
  <si>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</si>
  <si>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参照値（レベル３）</t>
    <rPh sb="0" eb="2">
      <t>サンショウ</t>
    </rPh>
    <rPh sb="2" eb="3">
      <t>チ</t>
    </rPh>
    <phoneticPr fontId="4"/>
  </si>
  <si>
    <t>レベル２</t>
    <phoneticPr fontId="4"/>
  </si>
  <si>
    <t>住戸全体</t>
    <rPh sb="0" eb="4">
      <t>ジュウコゼンタイ</t>
    </rPh>
    <phoneticPr fontId="4"/>
  </si>
  <si>
    <t>Aa4</t>
    <phoneticPr fontId="4"/>
  </si>
  <si>
    <t>ダクトセントラル</t>
    <phoneticPr fontId="4"/>
  </si>
  <si>
    <t>←BEI0.9</t>
    <phoneticPr fontId="4"/>
  </si>
  <si>
    <t>←BEI1.0　仕様基準、省エネ基準</t>
    <rPh sb="8" eb="12">
      <t>シヨウキジュン</t>
    </rPh>
    <rPh sb="13" eb="14">
      <t>ショウ</t>
    </rPh>
    <rPh sb="16" eb="18">
      <t>キジュン</t>
    </rPh>
    <phoneticPr fontId="4"/>
  </si>
  <si>
    <t>居室間歇</t>
    <rPh sb="0" eb="2">
      <t>キョシツ</t>
    </rPh>
    <rPh sb="2" eb="4">
      <t>カンケツ</t>
    </rPh>
    <phoneticPr fontId="4"/>
  </si>
  <si>
    <t>←BEI0.8　誘導仕様基準</t>
    <rPh sb="8" eb="14">
      <t>ユウドウシヨウキジュン</t>
    </rPh>
    <phoneticPr fontId="4"/>
  </si>
  <si>
    <t>ルームエアコン</t>
    <phoneticPr fontId="4"/>
  </si>
  <si>
    <t>Ba0</t>
    <phoneticPr fontId="4"/>
  </si>
  <si>
    <t>Ba1</t>
    <phoneticPr fontId="4"/>
  </si>
  <si>
    <t>Ba2</t>
    <phoneticPr fontId="4"/>
  </si>
  <si>
    <t>居室連続</t>
    <rPh sb="0" eb="4">
      <t>キョシツレンゾク</t>
    </rPh>
    <phoneticPr fontId="4"/>
  </si>
  <si>
    <t>Ba4</t>
    <phoneticPr fontId="4"/>
  </si>
  <si>
    <t>パネルラジエーター</t>
    <phoneticPr fontId="4"/>
  </si>
  <si>
    <t>Bb0</t>
    <phoneticPr fontId="4"/>
  </si>
  <si>
    <t>Bb1</t>
    <phoneticPr fontId="4"/>
  </si>
  <si>
    <t>Bb2</t>
    <phoneticPr fontId="4"/>
  </si>
  <si>
    <t>Bb4</t>
    <phoneticPr fontId="4"/>
  </si>
  <si>
    <t>Ca0</t>
    <phoneticPr fontId="4"/>
  </si>
  <si>
    <t>Ca1</t>
    <phoneticPr fontId="4"/>
  </si>
  <si>
    <t>Ca2</t>
    <phoneticPr fontId="4"/>
  </si>
  <si>
    <t>Ca4</t>
    <phoneticPr fontId="4"/>
  </si>
  <si>
    <t>Cb0</t>
    <phoneticPr fontId="4"/>
  </si>
  <si>
    <t>Cb1</t>
    <phoneticPr fontId="4"/>
  </si>
  <si>
    <t>Cb2</t>
    <phoneticPr fontId="4"/>
  </si>
  <si>
    <t>Cb4</t>
    <phoneticPr fontId="4"/>
  </si>
  <si>
    <t>実排出係数</t>
    <phoneticPr fontId="4"/>
  </si>
  <si>
    <t>CASBEE-戸建（新築）2024年版に基づく</t>
    <rPh sb="7" eb="9">
      <t>コダテ</t>
    </rPh>
    <rPh sb="10" eb="12">
      <t>シンチク</t>
    </rPh>
    <rPh sb="17" eb="18">
      <t>ネン</t>
    </rPh>
    <rPh sb="18" eb="19">
      <t>バン</t>
    </rPh>
    <rPh sb="20" eb="21">
      <t>モト</t>
    </rPh>
    <phoneticPr fontId="4"/>
  </si>
  <si>
    <t>地域区分</t>
    <rPh sb="0" eb="4">
      <t>チイキクブン</t>
    </rPh>
    <phoneticPr fontId="4"/>
  </si>
  <si>
    <t>参照値</t>
    <rPh sb="0" eb="3">
      <t>サンショウチ</t>
    </rPh>
    <phoneticPr fontId="4"/>
  </si>
  <si>
    <t>Aa</t>
    <phoneticPr fontId="4"/>
  </si>
  <si>
    <t>Ba</t>
    <phoneticPr fontId="4"/>
  </si>
  <si>
    <t>方式（参照値）</t>
    <rPh sb="0" eb="2">
      <t>ホウシキ</t>
    </rPh>
    <rPh sb="3" eb="6">
      <t>サンショウチ</t>
    </rPh>
    <phoneticPr fontId="4"/>
  </si>
  <si>
    <t>←参照値</t>
    <rPh sb="1" eb="4">
      <t>サンショウチ</t>
    </rPh>
    <phoneticPr fontId="4"/>
  </si>
  <si>
    <t>←評価建物</t>
    <rPh sb="1" eb="3">
      <t>ヒョウカ</t>
    </rPh>
    <rPh sb="3" eb="5">
      <t>タテモノ</t>
    </rPh>
    <phoneticPr fontId="4"/>
  </si>
  <si>
    <t>暖房</t>
    <rPh sb="0" eb="2">
      <t>ダンボウ</t>
    </rPh>
    <phoneticPr fontId="4"/>
  </si>
  <si>
    <t>冷房</t>
    <rPh sb="0" eb="2">
      <t>レイボウ</t>
    </rPh>
    <phoneticPr fontId="4"/>
  </si>
  <si>
    <t>2-2.　導入設備に係るCO2排出量（評価しない）</t>
    <rPh sb="5" eb="7">
      <t>ドウニュウ</t>
    </rPh>
    <rPh sb="7" eb="9">
      <t>セツビ</t>
    </rPh>
    <rPh sb="10" eb="11">
      <t>カカ</t>
    </rPh>
    <rPh sb="15" eb="17">
      <t>ハイシュツ</t>
    </rPh>
    <rPh sb="17" eb="18">
      <t>リョウ</t>
    </rPh>
    <rPh sb="19" eb="21">
      <t>ヒョウカ</t>
    </rPh>
    <phoneticPr fontId="4"/>
  </si>
  <si>
    <t>C</t>
    <phoneticPr fontId="4"/>
  </si>
  <si>
    <t>Aa0</t>
    <phoneticPr fontId="4"/>
  </si>
  <si>
    <t>Aa1</t>
    <phoneticPr fontId="4"/>
  </si>
  <si>
    <t>Aa2</t>
    <phoneticPr fontId="4"/>
  </si>
  <si>
    <t>Ab0</t>
    <phoneticPr fontId="4"/>
  </si>
  <si>
    <t>Ab1</t>
    <phoneticPr fontId="4"/>
  </si>
  <si>
    <t>Ab2</t>
    <phoneticPr fontId="4"/>
  </si>
  <si>
    <t>Ab4</t>
    <phoneticPr fontId="4"/>
  </si>
  <si>
    <t>感染症に備える</t>
    <phoneticPr fontId="4"/>
  </si>
  <si>
    <t>SQ2.3.3</t>
    <phoneticPr fontId="4"/>
  </si>
  <si>
    <t>住宅内で安全に生活できるデザインとする</t>
    <phoneticPr fontId="4"/>
  </si>
  <si>
    <t>省エネ性能を高める</t>
    <phoneticPr fontId="4"/>
  </si>
  <si>
    <t>創エネに取組む</t>
    <phoneticPr fontId="4"/>
  </si>
  <si>
    <t>7.1.2</t>
  </si>
  <si>
    <t>より高度な省エネ・創エネ・蓄エネに取組んでいる
（①または②：取組んでいる　①②とも：積極的に取組んでいる）
①『ZEH＋』やLCCM住宅としている
②エネルギーをより高度に有効利用するシステムに取組んでいる
　例　・断熱等性能等級６以上
　　　・家庭用蓄電池の設置
　　　・家庭用燃料電池の設置
　　　・EV・PHV等充電設備の設置
　　　・地中熱など未利用エネルギーの利用
　　　・地域における分散型エネルギーシステムとの連携
　　　・その他</t>
    <phoneticPr fontId="4"/>
  </si>
  <si>
    <t>室内外の熱の流入・流出をより高度に抑制した住宅の普及に貢献している
○住宅性能表示基準における
　　断熱等性能等級４相当以下  　  ：取組んでいない
　　断熱等性能等級５相当 　　　   ：取組んでいる
　　断熱等性能等級６相当以上　　：積極的に取組んでいる</t>
    <rPh sb="51" eb="53">
      <t>ダンネツ</t>
    </rPh>
    <rPh sb="53" eb="54">
      <t>トウ</t>
    </rPh>
    <rPh sb="54" eb="56">
      <t>セイノウ</t>
    </rPh>
    <rPh sb="59" eb="61">
      <t>ソウトウ</t>
    </rPh>
    <rPh sb="61" eb="63">
      <t>イカ</t>
    </rPh>
    <rPh sb="87" eb="89">
      <t>ソウトウ</t>
    </rPh>
    <rPh sb="116" eb="118">
      <t>イジョウ</t>
    </rPh>
    <phoneticPr fontId="4"/>
  </si>
  <si>
    <t>住宅の省エネ性能・創エネ性能を高め、居住段階におけるエネルギー消費量をより一層削減した住宅の普及に貢献している
（①：取組んでいる　②：積極的に取組んでいる）
①以下のいずれかに取組んでいる。
・『ZEH』
・NearlyZEH
・断熱等性能等級７
②以下のいずれかに取組んでいる。
 　・『ZEH＋』
　 ・LCCM住宅</t>
    <phoneticPr fontId="4"/>
  </si>
  <si>
    <t>MJ/㎡</t>
    <phoneticPr fontId="4"/>
  </si>
  <si>
    <t>tCO2/GJ※</t>
  </si>
  <si>
    <t>　　　　　　省エネ</t>
    <rPh sb="6" eb="7">
      <t>ショウ</t>
    </rPh>
    <phoneticPr fontId="4"/>
  </si>
  <si>
    <t>←BEI1.1</t>
    <phoneticPr fontId="4"/>
  </si>
  <si>
    <t>一次エネルギー消費量</t>
    <phoneticPr fontId="4"/>
  </si>
  <si>
    <r>
      <t>c .　居住時のCO</t>
    </r>
    <r>
      <rPr>
        <b/>
        <vertAlign val="subscript"/>
        <sz val="11"/>
        <rFont val="ＭＳ Ｐゴシック"/>
        <family val="3"/>
        <charset val="128"/>
      </rPr>
      <t>2</t>
    </r>
    <r>
      <rPr>
        <b/>
        <sz val="11"/>
        <rFont val="ＭＳ Ｐゴシック"/>
        <family val="3"/>
        <charset val="128"/>
      </rPr>
      <t>排出量算出のための基準値</t>
    </r>
    <rPh sb="4" eb="6">
      <t>キョジュウ</t>
    </rPh>
    <rPh sb="6" eb="7">
      <t>ジ</t>
    </rPh>
    <rPh sb="11" eb="13">
      <t>ハイシュツ</t>
    </rPh>
    <rPh sb="13" eb="14">
      <t>リョウ</t>
    </rPh>
    <rPh sb="14" eb="16">
      <t>サンシュツ</t>
    </rPh>
    <rPh sb="20" eb="23">
      <t>キジュンチ</t>
    </rPh>
    <phoneticPr fontId="4"/>
  </si>
  <si>
    <r>
      <t>d .　ライフサイクルCO</t>
    </r>
    <r>
      <rPr>
        <b/>
        <vertAlign val="subscript"/>
        <sz val="11"/>
        <rFont val="ＭＳ Ｐゴシック"/>
        <family val="3"/>
        <charset val="128"/>
      </rPr>
      <t>2</t>
    </r>
    <r>
      <rPr>
        <b/>
        <sz val="11"/>
        <rFont val="ＭＳ Ｐゴシック"/>
        <family val="3"/>
        <charset val="128"/>
      </rPr>
      <t>算定条件</t>
    </r>
    <rPh sb="14" eb="16">
      <t>サンテイ</t>
    </rPh>
    <rPh sb="16" eb="18">
      <t>ジョウケン</t>
    </rPh>
    <phoneticPr fontId="4"/>
  </si>
  <si>
    <t>レベルを選択</t>
    <rPh sb="4" eb="6">
      <t>センタク</t>
    </rPh>
    <phoneticPr fontId="4"/>
  </si>
  <si>
    <t>評価方法を選択</t>
    <rPh sb="0" eb="4">
      <t>ヒョウカホウホウ</t>
    </rPh>
    <rPh sb="5" eb="7">
      <t>センタク</t>
    </rPh>
    <phoneticPr fontId="4"/>
  </si>
  <si>
    <t>算定プログラムの結果による評価</t>
    <rPh sb="0" eb="2">
      <t>サンテイ</t>
    </rPh>
    <rPh sb="8" eb="10">
      <t>ケッカ</t>
    </rPh>
    <rPh sb="13" eb="15">
      <t>ヒョウカ</t>
    </rPh>
    <phoneticPr fontId="4"/>
  </si>
  <si>
    <t>仕様基準・誘導仕様基準による評価</t>
    <rPh sb="0" eb="4">
      <t>シヨウキジュン</t>
    </rPh>
    <rPh sb="5" eb="11">
      <t>ユウドウシヨウキジュン</t>
    </rPh>
    <rPh sb="14" eb="16">
      <t>ヒョウカ</t>
    </rPh>
    <phoneticPr fontId="4"/>
  </si>
  <si>
    <t>■仕様基準・誘導仕様基準による評価（算定プログラムを使わない場合）　 (以下の３カ所を必ず選択して下さい）</t>
    <rPh sb="1" eb="5">
      <t>シヨウキジュン</t>
    </rPh>
    <rPh sb="6" eb="12">
      <t>ユウドウシヨウキジュン</t>
    </rPh>
    <rPh sb="15" eb="17">
      <t>ヒョウカ</t>
    </rPh>
    <rPh sb="18" eb="20">
      <t>サンテイ</t>
    </rPh>
    <rPh sb="26" eb="27">
      <t>ツカ</t>
    </rPh>
    <rPh sb="30" eb="32">
      <t>バアイ</t>
    </rPh>
    <rPh sb="36" eb="38">
      <t>イカ</t>
    </rPh>
    <rPh sb="41" eb="42">
      <t>ショ</t>
    </rPh>
    <rPh sb="43" eb="44">
      <t>カナラ</t>
    </rPh>
    <rPh sb="45" eb="47">
      <t>センタク</t>
    </rPh>
    <rPh sb="49" eb="50">
      <t>クダ</t>
    </rPh>
    <phoneticPr fontId="4"/>
  </si>
  <si>
    <t>■算定プログラムの結果による評価</t>
    <rPh sb="1" eb="3">
      <t>サンテイ</t>
    </rPh>
    <rPh sb="9" eb="11">
      <t>ケッカ</t>
    </rPh>
    <rPh sb="14" eb="16">
      <t>ヒョウカ</t>
    </rPh>
    <phoneticPr fontId="4"/>
  </si>
  <si>
    <t>←その他エネ分CO2を含む</t>
    <rPh sb="3" eb="4">
      <t>ホカ</t>
    </rPh>
    <rPh sb="6" eb="7">
      <t>ブン</t>
    </rPh>
    <rPh sb="11" eb="12">
      <t>フク</t>
    </rPh>
    <phoneticPr fontId="4"/>
  </si>
  <si>
    <t>サンプル</t>
    <phoneticPr fontId="4"/>
  </si>
  <si>
    <t>A. 基準一次エネルギー消費量</t>
    <rPh sb="3" eb="5">
      <t>キジュン</t>
    </rPh>
    <rPh sb="5" eb="7">
      <t>イチジ</t>
    </rPh>
    <rPh sb="12" eb="15">
      <t>ショウヒリョウ</t>
    </rPh>
    <phoneticPr fontId="4"/>
  </si>
  <si>
    <t>B. 設計一次エネルギー消費量（合計：CGSを対象とする場合）</t>
    <rPh sb="3" eb="7">
      <t>セッケイイチジ</t>
    </rPh>
    <rPh sb="12" eb="15">
      <t>ショウヒリョウ</t>
    </rPh>
    <rPh sb="16" eb="18">
      <t>ゴウケイ</t>
    </rPh>
    <rPh sb="23" eb="25">
      <t>タイショウ</t>
    </rPh>
    <rPh sb="28" eb="30">
      <t>バアイ</t>
    </rPh>
    <phoneticPr fontId="4"/>
  </si>
  <si>
    <t>D. その他の設備の一次エネルギー消費量</t>
    <rPh sb="5" eb="6">
      <t>タ</t>
    </rPh>
    <rPh sb="7" eb="9">
      <t>セツビ</t>
    </rPh>
    <rPh sb="10" eb="12">
      <t>イチジ</t>
    </rPh>
    <rPh sb="17" eb="20">
      <t>ショウヒリョウ</t>
    </rPh>
    <phoneticPr fontId="4"/>
  </si>
  <si>
    <t>E. 発電量（コージェネレーション）</t>
    <rPh sb="3" eb="5">
      <t>ハツデン</t>
    </rPh>
    <rPh sb="5" eb="6">
      <t>リョウ</t>
    </rPh>
    <phoneticPr fontId="149"/>
  </si>
  <si>
    <t>F. 発電量（太陽光発電）</t>
    <rPh sb="3" eb="5">
      <t>ハツデン</t>
    </rPh>
    <rPh sb="5" eb="6">
      <t>リョウ</t>
    </rPh>
    <rPh sb="7" eb="10">
      <t>タイヨウコウ</t>
    </rPh>
    <rPh sb="10" eb="12">
      <t>ハツデン</t>
    </rPh>
    <phoneticPr fontId="4"/>
  </si>
  <si>
    <t>G. 売電量（コージェネレーション）</t>
    <rPh sb="3" eb="6">
      <t>バイデンリョウ</t>
    </rPh>
    <rPh sb="6" eb="7">
      <t>デンリョウ</t>
    </rPh>
    <phoneticPr fontId="4"/>
  </si>
  <si>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4"/>
  </si>
  <si>
    <t>太陽光発電（全量）</t>
    <rPh sb="0" eb="5">
      <t>タイヨウコウハツデン</t>
    </rPh>
    <rPh sb="6" eb="8">
      <t>ゼンリョウ</t>
    </rPh>
    <phoneticPr fontId="4"/>
  </si>
  <si>
    <t>CGS売電分控除量</t>
    <rPh sb="3" eb="6">
      <t>バイデンブン</t>
    </rPh>
    <rPh sb="6" eb="9">
      <t>コウジョリョウ</t>
    </rPh>
    <phoneticPr fontId="4"/>
  </si>
  <si>
    <t>CGS売電量</t>
    <rPh sb="3" eb="6">
      <t>バイデンリョウ</t>
    </rPh>
    <phoneticPr fontId="4"/>
  </si>
  <si>
    <t>一次エネ削減率</t>
    <rPh sb="0" eb="2">
      <t>イチジ</t>
    </rPh>
    <rPh sb="4" eb="7">
      <t>サクゲンリツ</t>
    </rPh>
    <phoneticPr fontId="4"/>
  </si>
  <si>
    <t>基準一次（その他除く）</t>
    <rPh sb="0" eb="2">
      <t>キジュン</t>
    </rPh>
    <rPh sb="2" eb="4">
      <t>イチジ</t>
    </rPh>
    <rPh sb="7" eb="8">
      <t>タ</t>
    </rPh>
    <rPh sb="8" eb="9">
      <t>ノゾ</t>
    </rPh>
    <phoneticPr fontId="4"/>
  </si>
  <si>
    <t>設計一次（CGS評価）（その他除く）</t>
    <rPh sb="0" eb="2">
      <t>セッケイ</t>
    </rPh>
    <rPh sb="2" eb="4">
      <t>イチジ</t>
    </rPh>
    <rPh sb="8" eb="10">
      <t>ヒョウカ</t>
    </rPh>
    <rPh sb="14" eb="15">
      <t>タ</t>
    </rPh>
    <rPh sb="15" eb="16">
      <t>ノゾ</t>
    </rPh>
    <phoneticPr fontId="4"/>
  </si>
  <si>
    <t>基礎排出係数</t>
    <rPh sb="0" eb="2">
      <t>キソ</t>
    </rPh>
    <rPh sb="2" eb="4">
      <t>ハイシュツ</t>
    </rPh>
    <phoneticPr fontId="4"/>
  </si>
  <si>
    <t>本採点項目のレベルは、一次エネルギー消費量の削減率（再生可能エネルギーを考慮しない）を1.0～5.0に換算した値（小数第１位まで）で表される。なお、レベル1.0、2.0、3.0、4.0、5.0は以下の一次エネルギー消費量削減率で定義される。
レベル1 ：一次エネルギー消費量削減率が-10％以下
レベル2 ：一次エネルギー消費量削減率が0％（H28年エネルギー消費性能基準相当）
レベル3 ：一次エネルギー消費量削減率が10％
レベル4 ：一次エネルギー消費量削減率が20％（誘導基準相当）
レベル5 ：一次エネルギー消費量削減率が30％以上</t>
    <rPh sb="11" eb="13">
      <t>イチジ</t>
    </rPh>
    <rPh sb="22" eb="25">
      <t>サクゲンリツ</t>
    </rPh>
    <rPh sb="26" eb="28">
      <t>サイセイ</t>
    </rPh>
    <rPh sb="28" eb="30">
      <t>カノウ</t>
    </rPh>
    <rPh sb="36" eb="38">
      <t>コウリョ</t>
    </rPh>
    <rPh sb="100" eb="102">
      <t>イチジ</t>
    </rPh>
    <rPh sb="107" eb="110">
      <t>ショウヒリョウ</t>
    </rPh>
    <rPh sb="110" eb="113">
      <t>サクゲンリツ</t>
    </rPh>
    <rPh sb="127" eb="129">
      <t>イチジ</t>
    </rPh>
    <rPh sb="134" eb="137">
      <t>ショウヒリョウ</t>
    </rPh>
    <rPh sb="137" eb="140">
      <t>サクゲンリツ</t>
    </rPh>
    <rPh sb="145" eb="147">
      <t>イカ</t>
    </rPh>
    <rPh sb="238" eb="242">
      <t>ユウドウキジュン</t>
    </rPh>
    <rPh sb="242" eb="244">
      <t>ソウトウ</t>
    </rPh>
    <rPh sb="269" eb="271">
      <t>イジョウ</t>
    </rPh>
    <phoneticPr fontId="4"/>
  </si>
  <si>
    <t>一次エネルギー消費量削減率※</t>
    <rPh sb="0" eb="2">
      <t>イチジ</t>
    </rPh>
    <rPh sb="7" eb="10">
      <t>ショウヒリョウ</t>
    </rPh>
    <rPh sb="10" eb="13">
      <t>サクゲンリツ</t>
    </rPh>
    <phoneticPr fontId="4"/>
  </si>
  <si>
    <t>※再生可能エネルギーによる削減分（F）を考慮しない</t>
    <rPh sb="1" eb="5">
      <t>サイセイカノウ</t>
    </rPh>
    <rPh sb="13" eb="16">
      <t>サクゲンブン</t>
    </rPh>
    <rPh sb="20" eb="22">
      <t>コウリョ</t>
    </rPh>
    <phoneticPr fontId="4"/>
  </si>
  <si>
    <t>基準一次エネ消費量（家電・調理除）</t>
    <rPh sb="0" eb="2">
      <t>キジュン</t>
    </rPh>
    <rPh sb="2" eb="4">
      <t>イチジ</t>
    </rPh>
    <rPh sb="6" eb="9">
      <t>ショウヒリョウ</t>
    </rPh>
    <rPh sb="10" eb="12">
      <t>カデン</t>
    </rPh>
    <rPh sb="13" eb="15">
      <t>チョウリ</t>
    </rPh>
    <rPh sb="15" eb="16">
      <t>ノゾ</t>
    </rPh>
    <phoneticPr fontId="4"/>
  </si>
  <si>
    <t>削減率</t>
    <rPh sb="0" eb="3">
      <t>サクゲンリツ</t>
    </rPh>
    <phoneticPr fontId="4"/>
  </si>
  <si>
    <t>合計削減量</t>
    <rPh sb="0" eb="2">
      <t>ゴウケイ</t>
    </rPh>
    <rPh sb="2" eb="5">
      <t>サクゲンリョウ</t>
    </rPh>
    <phoneticPr fontId="4"/>
  </si>
  <si>
    <t>住宅内で安全に生活できるよう、加齢や負傷などによる身体機能低下時への備えや家庭内事故防止に取組んでいるかを評価する。</t>
    <rPh sb="0" eb="2">
      <t>ジュウタク</t>
    </rPh>
    <rPh sb="2" eb="3">
      <t>ナイ</t>
    </rPh>
    <rPh sb="4" eb="6">
      <t>アンゼン</t>
    </rPh>
    <rPh sb="7" eb="9">
      <t>セイカツ</t>
    </rPh>
    <rPh sb="15" eb="17">
      <t>カレイ</t>
    </rPh>
    <rPh sb="18" eb="20">
      <t>フショウ</t>
    </rPh>
    <rPh sb="25" eb="27">
      <t>シンタイ</t>
    </rPh>
    <rPh sb="27" eb="29">
      <t>キノウ</t>
    </rPh>
    <rPh sb="29" eb="31">
      <t>テイカ</t>
    </rPh>
    <rPh sb="31" eb="32">
      <t>ジ</t>
    </rPh>
    <rPh sb="34" eb="35">
      <t>ソナ</t>
    </rPh>
    <rPh sb="37" eb="40">
      <t>カテイナイ</t>
    </rPh>
    <rPh sb="40" eb="42">
      <t>ジコ</t>
    </rPh>
    <rPh sb="42" eb="44">
      <t>ボウシ</t>
    </rPh>
    <rPh sb="45" eb="47">
      <t>トリク</t>
    </rPh>
    <rPh sb="53" eb="55">
      <t>ヒョウカ</t>
    </rPh>
    <phoneticPr fontId="4"/>
  </si>
  <si>
    <t>冬季に、浴室、脱衣所、トイレなどが極端に寒くならないよう工夫している
（①：取組んでいる、②：積極的に取組んでいる）
①住宅性能表示制度断熱等性能等級５を満たさない断熱性能だが、浴室、脱衣所、トイレに補助暖房を設置している
②住宅全体の断熱性能を向上させ※、温度差を解消に努めている
　  ※住宅性能表示制度断熱等性能等級５以上を満たしていること</t>
    <rPh sb="38" eb="40">
      <t>トリク</t>
    </rPh>
    <rPh sb="47" eb="50">
      <t>セッキョクテキ</t>
    </rPh>
    <rPh sb="51" eb="53">
      <t>トリクヨクシツ</t>
    </rPh>
    <phoneticPr fontId="4"/>
  </si>
  <si>
    <t>家庭におけるエネルギーの有効利用のため、躯体や設備による省エネ性能の向上に取組んでいるかを評価する。</t>
    <rPh sb="0" eb="2">
      <t>カテイ</t>
    </rPh>
    <rPh sb="12" eb="14">
      <t>ユウコウ</t>
    </rPh>
    <rPh sb="14" eb="16">
      <t>リヨウ</t>
    </rPh>
    <rPh sb="20" eb="22">
      <t>クタイ</t>
    </rPh>
    <rPh sb="23" eb="25">
      <t>セツビ</t>
    </rPh>
    <rPh sb="28" eb="29">
      <t>ショウ</t>
    </rPh>
    <rPh sb="31" eb="33">
      <t>セイノウ</t>
    </rPh>
    <rPh sb="34" eb="36">
      <t>コウジョウ</t>
    </rPh>
    <rPh sb="37" eb="39">
      <t>トリク</t>
    </rPh>
    <rPh sb="45" eb="47">
      <t>ヒョウカ</t>
    </rPh>
    <phoneticPr fontId="4"/>
  </si>
  <si>
    <t>エネルギーや防災に関する最新技術の採用や地域との先端的な連携に取組んでいる
（下記①～④のうち、１つ：取組んでいる　２つ以上：積極的に取組んでいる）
①再生可能エネルギーの自家消費の拡大措置
　例　・太陽光発電設備＋太陽光発電連携蓄電池
　　　　・太陽光発電設備＋太陽光発電連携給湯機
　　　　・太陽光発電設備＋太陽光発電連携EV・PHV充電設備
②高度エネルギーマネジメント※を設置
※HEMSにより、太陽光発電設備等の発電量等を把握したうえで、住宅内の暖冷房設備、給湯設備、省エネ設備等を制御可能であること。　HEMS 、暖冷房設備及び給湯設備等（蓄電池やコージェネレーション設備（燃料電池に限る）を設置する場合には、これらの設備を含む）について、いずれも ECHONETLite AIF 仕様に適合し、認証を取得している機器を設置（アダプタが分離されている場合は当該アダプタを含む）すること。
③免震・制震
④先進的な地域システムとの連携
　例　・地域のスマート化と連携する建築計画
　　　 ・分散型の地域エネルギーシステムとの連携
　　　 ・その他</t>
    <rPh sb="51" eb="53">
      <t>イジョウ</t>
    </rPh>
    <rPh sb="54" eb="57">
      <t>セッキョクテキ</t>
    </rPh>
    <rPh sb="58" eb="60">
      <t>トリク</t>
    </rPh>
    <rPh sb="68" eb="71">
      <t>タイヨウコウ</t>
    </rPh>
    <rPh sb="71" eb="73">
      <t>ハツデン</t>
    </rPh>
    <rPh sb="75" eb="77">
      <t>ネンリョウチイキレンケイレイタ</t>
    </rPh>
    <phoneticPr fontId="4"/>
  </si>
  <si>
    <t>資材の生産段階における資源の有効利用に取組んでいる材料（躯体材料以外）を採用している</t>
    <rPh sb="0" eb="2">
      <t>シザイ</t>
    </rPh>
    <rPh sb="3" eb="5">
      <t>セイサン</t>
    </rPh>
    <rPh sb="5" eb="7">
      <t>ダンカイ</t>
    </rPh>
    <rPh sb="11" eb="13">
      <t>シゲン</t>
    </rPh>
    <rPh sb="14" eb="16">
      <t>ユウコウ</t>
    </rPh>
    <rPh sb="16" eb="18">
      <t>リヨウ</t>
    </rPh>
    <rPh sb="19" eb="21">
      <t>トリク</t>
    </rPh>
    <rPh sb="25" eb="27">
      <t>ザイリョウ</t>
    </rPh>
    <rPh sb="28" eb="30">
      <t>クタイ</t>
    </rPh>
    <rPh sb="30" eb="32">
      <t>ザイリョウ</t>
    </rPh>
    <rPh sb="32" eb="34">
      <t>イガイ</t>
    </rPh>
    <rPh sb="36" eb="38">
      <t>サイヨウ</t>
    </rPh>
    <phoneticPr fontId="4"/>
  </si>
  <si>
    <t xml:space="preserve">   躯体と設備による省エネ</t>
    <rPh sb="3" eb="5">
      <t>クタイ</t>
    </rPh>
    <rPh sb="6" eb="8">
      <t>セツビ</t>
    </rPh>
    <rPh sb="11" eb="12">
      <t>ショウ</t>
    </rPh>
    <phoneticPr fontId="4"/>
  </si>
  <si>
    <t xml:space="preserve">   コージェネレーション設備（売電分）</t>
    <rPh sb="13" eb="15">
      <t>セツビ</t>
    </rPh>
    <rPh sb="16" eb="19">
      <t>バイデンブン</t>
    </rPh>
    <phoneticPr fontId="4"/>
  </si>
  <si>
    <t xml:space="preserve">   太陽光発電（全量）</t>
    <rPh sb="3" eb="6">
      <t>タイヨウコウ</t>
    </rPh>
    <rPh sb="6" eb="8">
      <t>ハツデン</t>
    </rPh>
    <rPh sb="9" eb="11">
      <t>ゼンリョウ</t>
    </rPh>
    <phoneticPr fontId="4"/>
  </si>
  <si>
    <t>←太陽光発電（全量）＋コジェネ売電分</t>
    <rPh sb="1" eb="4">
      <t>タイヨウコウ</t>
    </rPh>
    <rPh sb="4" eb="6">
      <t>ハツデン</t>
    </rPh>
    <rPh sb="7" eb="9">
      <t>ゼンリョウ</t>
    </rPh>
    <rPh sb="15" eb="17">
      <t>バイデン</t>
    </rPh>
    <rPh sb="17" eb="18">
      <t>ブン</t>
    </rPh>
    <phoneticPr fontId="4"/>
  </si>
  <si>
    <t>評価建物②＝算定プロB欄</t>
    <rPh sb="0" eb="2">
      <t>ヒョウカ</t>
    </rPh>
    <rPh sb="2" eb="4">
      <t>タテモノ</t>
    </rPh>
    <rPh sb="6" eb="8">
      <t>サンテイ</t>
    </rPh>
    <rPh sb="11" eb="12">
      <t>ラン</t>
    </rPh>
    <phoneticPr fontId="4"/>
  </si>
  <si>
    <t>太陽光発電等による削減分</t>
    <rPh sb="0" eb="2">
      <t>タイヨウ</t>
    </rPh>
    <rPh sb="2" eb="3">
      <t>ヒカリ</t>
    </rPh>
    <rPh sb="3" eb="5">
      <t>ハツデン</t>
    </rPh>
    <rPh sb="5" eb="6">
      <t>トウ</t>
    </rPh>
    <rPh sb="9" eb="11">
      <t>サクゲン</t>
    </rPh>
    <rPh sb="11" eb="12">
      <t>ブン</t>
    </rPh>
    <phoneticPr fontId="4"/>
  </si>
  <si>
    <t>太陽光発電設備の導入</t>
    <rPh sb="0" eb="7">
      <t>タイヨウコウハツデンセツビ</t>
    </rPh>
    <rPh sb="8" eb="10">
      <t>ドウニュウ</t>
    </rPh>
    <phoneticPr fontId="4"/>
  </si>
  <si>
    <t>躯体と設備による省エネ＋太陽光発電（全量）等により基準一次エネルギー消費量（その他を除く）の50％以上を削減する規模の太陽光発電設備を設置している。</t>
    <rPh sb="0" eb="2">
      <t>クタイ</t>
    </rPh>
    <rPh sb="3" eb="5">
      <t>セツビ</t>
    </rPh>
    <rPh sb="8" eb="9">
      <t>ショウ</t>
    </rPh>
    <rPh sb="12" eb="17">
      <t>タイヨウコウハツデン</t>
    </rPh>
    <rPh sb="18" eb="20">
      <t>ゼンリョウ</t>
    </rPh>
    <rPh sb="21" eb="22">
      <t>トウ</t>
    </rPh>
    <rPh sb="25" eb="29">
      <t>キジュンイチジ</t>
    </rPh>
    <rPh sb="34" eb="37">
      <t>ショウヒリョウ</t>
    </rPh>
    <rPh sb="40" eb="41">
      <t>タ</t>
    </rPh>
    <rPh sb="42" eb="43">
      <t>ノゾ</t>
    </rPh>
    <rPh sb="49" eb="51">
      <t>イジョウ</t>
    </rPh>
    <rPh sb="52" eb="54">
      <t>サクゲン</t>
    </rPh>
    <rPh sb="56" eb="58">
      <t>キボ</t>
    </rPh>
    <rPh sb="59" eb="66">
      <t>タイヨウコウハツデンセツビ</t>
    </rPh>
    <rPh sb="67" eb="69">
      <t>セッチ</t>
    </rPh>
    <phoneticPr fontId="4"/>
  </si>
  <si>
    <t>躯体と設備による省エネ＋太陽光発電（全量）等により基準一次エネルギー消費量（その他を除く）の100％以上を削減する規模の太陽光発電設備を設置している。</t>
    <rPh sb="21" eb="22">
      <t>トウ</t>
    </rPh>
    <phoneticPr fontId="4"/>
  </si>
  <si>
    <t>実施しない</t>
  </si>
  <si>
    <r>
      <rPr>
        <sz val="10"/>
        <color indexed="18"/>
        <rFont val="ＭＳ Ｐゴシック"/>
        <family val="3"/>
        <charset val="128"/>
      </rPr>
      <t>●結果（レーダー）</t>
    </r>
    <rPh sb="1" eb="3">
      <t>ケッカ</t>
    </rPh>
    <phoneticPr fontId="4"/>
  </si>
  <si>
    <t>SLR1.1.2</t>
    <phoneticPr fontId="4"/>
  </si>
  <si>
    <t>太陽光発電設備の導入</t>
    <rPh sb="0" eb="3">
      <t>タイヨウコウ</t>
    </rPh>
    <rPh sb="3" eb="5">
      <t>ハツデン</t>
    </rPh>
    <rPh sb="5" eb="7">
      <t>セツビ</t>
    </rPh>
    <rPh sb="8" eb="10">
      <t>ドウニュウ</t>
    </rPh>
    <phoneticPr fontId="4"/>
  </si>
  <si>
    <t>家庭におけるエネルギーの有効利用のため、太陽光発電設備などの創エネに取組んでいる。</t>
    <phoneticPr fontId="4"/>
  </si>
  <si>
    <t>開口部遮音性能</t>
    <rPh sb="0" eb="3">
      <t>カイコウブ</t>
    </rPh>
    <rPh sb="3" eb="7">
      <t>シャオンセイノウ</t>
    </rPh>
    <phoneticPr fontId="12"/>
  </si>
  <si>
    <t>界壁遮音性能</t>
    <rPh sb="0" eb="2">
      <t>カイヘキ</t>
    </rPh>
    <rPh sb="2" eb="4">
      <t>シャオン</t>
    </rPh>
    <rPh sb="4" eb="6">
      <t>セイノウ</t>
    </rPh>
    <phoneticPr fontId="12"/>
  </si>
  <si>
    <t>界床遮音性能</t>
    <rPh sb="0" eb="2">
      <t>カイユカ</t>
    </rPh>
    <rPh sb="2" eb="6">
      <t>シャオンセイノウ</t>
    </rPh>
    <phoneticPr fontId="12"/>
  </si>
  <si>
    <t>軽量衝撃音に対する遮音性能</t>
    <rPh sb="0" eb="5">
      <t>ケイリョウショウゲキオン</t>
    </rPh>
    <rPh sb="6" eb="7">
      <t>タイ</t>
    </rPh>
    <rPh sb="9" eb="13">
      <t>シャオンセイノウ</t>
    </rPh>
    <phoneticPr fontId="12"/>
  </si>
  <si>
    <t>重量衝撃音に対する遮音性能</t>
    <rPh sb="0" eb="1">
      <t>オモ</t>
    </rPh>
    <phoneticPr fontId="12"/>
  </si>
  <si>
    <t>内装の可変性</t>
    <rPh sb="0" eb="2">
      <t>ナイソウ</t>
    </rPh>
    <rPh sb="3" eb="6">
      <t>カヘンセイ</t>
    </rPh>
    <phoneticPr fontId="12"/>
  </si>
  <si>
    <t>自然災害に耐える</t>
    <rPh sb="0" eb="4">
      <t>シゼンサイガイ</t>
    </rPh>
    <rPh sb="5" eb="6">
      <t>タ</t>
    </rPh>
    <phoneticPr fontId="12"/>
  </si>
  <si>
    <t>火災に耐える構造（外壁）</t>
    <rPh sb="0" eb="2">
      <t>カサイ</t>
    </rPh>
    <rPh sb="3" eb="4">
      <t>タ</t>
    </rPh>
    <rPh sb="6" eb="8">
      <t>コウゾウ</t>
    </rPh>
    <rPh sb="9" eb="11">
      <t>ガイヘキ</t>
    </rPh>
    <phoneticPr fontId="12"/>
  </si>
  <si>
    <t>火災に耐える構造（界壁及び界床）</t>
    <rPh sb="9" eb="11">
      <t>カイヘキ</t>
    </rPh>
    <rPh sb="11" eb="12">
      <t>オヨ</t>
    </rPh>
    <rPh sb="13" eb="14">
      <t>カイ</t>
    </rPh>
    <rPh sb="14" eb="15">
      <t>ユカ</t>
    </rPh>
    <phoneticPr fontId="11"/>
  </si>
  <si>
    <t>火災の早期感知（自住戸）</t>
    <rPh sb="0" eb="2">
      <t>カサイ</t>
    </rPh>
    <rPh sb="3" eb="5">
      <t>ソウキ</t>
    </rPh>
    <rPh sb="5" eb="7">
      <t>カンチ</t>
    </rPh>
    <rPh sb="8" eb="11">
      <t>ジジュウコ</t>
    </rPh>
    <phoneticPr fontId="12"/>
  </si>
  <si>
    <t>火災の早期感知（他住戸等）</t>
    <rPh sb="0" eb="2">
      <t>カサイ</t>
    </rPh>
    <rPh sb="3" eb="5">
      <t>ソウキ</t>
    </rPh>
    <rPh sb="5" eb="7">
      <t>カンチ</t>
    </rPh>
    <rPh sb="8" eb="11">
      <t>タジュウコ</t>
    </rPh>
    <rPh sb="11" eb="12">
      <t>ナド</t>
    </rPh>
    <phoneticPr fontId="12"/>
  </si>
  <si>
    <t>共用部内の維持管理</t>
    <rPh sb="0" eb="3">
      <t>キョウヨウブ</t>
    </rPh>
    <rPh sb="3" eb="4">
      <t>ナイ</t>
    </rPh>
    <rPh sb="5" eb="7">
      <t>イジ</t>
    </rPh>
    <rPh sb="7" eb="9">
      <t>カンリ</t>
    </rPh>
    <phoneticPr fontId="12"/>
  </si>
  <si>
    <t>配管等の更新性</t>
    <rPh sb="0" eb="2">
      <t>ハイカン</t>
    </rPh>
    <rPh sb="2" eb="3">
      <t>トウ</t>
    </rPh>
    <rPh sb="4" eb="7">
      <t>コウシンセイ</t>
    </rPh>
    <phoneticPr fontId="12"/>
  </si>
  <si>
    <t>広さ・ゆとり　　　　　</t>
    <rPh sb="0" eb="1">
      <t>ヒロ</t>
    </rPh>
    <phoneticPr fontId="12"/>
  </si>
  <si>
    <t>住戸の広さと間取り</t>
    <rPh sb="0" eb="2">
      <t>ジュウコ</t>
    </rPh>
    <rPh sb="3" eb="4">
      <t>ヒロ</t>
    </rPh>
    <rPh sb="6" eb="8">
      <t>マド</t>
    </rPh>
    <phoneticPr fontId="12"/>
  </si>
  <si>
    <t>専用部分のバリアフリー対応</t>
    <rPh sb="0" eb="4">
      <t>センヨウブブン</t>
    </rPh>
    <rPh sb="11" eb="13">
      <t>タイオウ</t>
    </rPh>
    <phoneticPr fontId="12"/>
  </si>
  <si>
    <t>共用部分のバリアフリー対応</t>
    <rPh sb="0" eb="2">
      <t>キョウヨウ</t>
    </rPh>
    <rPh sb="2" eb="4">
      <t>ブブン</t>
    </rPh>
    <rPh sb="11" eb="13">
      <t>タイオウ</t>
    </rPh>
    <phoneticPr fontId="12"/>
  </si>
  <si>
    <t>住戸の防犯対策</t>
    <rPh sb="0" eb="2">
      <t>ジュウコ</t>
    </rPh>
    <rPh sb="3" eb="7">
      <t>ボウハンタイサク</t>
    </rPh>
    <phoneticPr fontId="12"/>
  </si>
  <si>
    <t>共用部の防犯対策</t>
    <rPh sb="0" eb="3">
      <t>キョウヨウブ</t>
    </rPh>
    <rPh sb="4" eb="8">
      <t>ボウハンタイサク</t>
    </rPh>
    <phoneticPr fontId="12"/>
  </si>
  <si>
    <t>住戸・周辺環境に配慮する</t>
    <rPh sb="0" eb="2">
      <t>ジュウコ</t>
    </rPh>
    <rPh sb="3" eb="5">
      <t>シュウヘン</t>
    </rPh>
    <rPh sb="5" eb="7">
      <t>カンキョウ</t>
    </rPh>
    <rPh sb="8" eb="10">
      <t>ハイリョ</t>
    </rPh>
    <phoneticPr fontId="4"/>
  </si>
  <si>
    <t>北海道電力(株)</t>
  </si>
  <si>
    <t>東北電力(株)</t>
  </si>
  <si>
    <t>東京電力エナジーパートナー(株)</t>
  </si>
  <si>
    <t>中部電力ミライズ(株)</t>
  </si>
  <si>
    <t>北陸電力(株)</t>
  </si>
  <si>
    <t>中国電力(株)</t>
  </si>
  <si>
    <t>四国電力(株)</t>
  </si>
  <si>
    <t>九州電力(株)</t>
  </si>
  <si>
    <t>沖縄電力(株)</t>
  </si>
  <si>
    <t>関西電力(株) (旧：(株)Ｋｅｎｅｓエネルギーサービス)</t>
    <phoneticPr fontId="4"/>
  </si>
  <si>
    <t>低層集合標準計算</t>
    <rPh sb="0" eb="2">
      <t>テイソウ</t>
    </rPh>
    <rPh sb="2" eb="4">
      <t>シュウゴウ</t>
    </rPh>
    <rPh sb="4" eb="6">
      <t>ヒョウジュン</t>
    </rPh>
    <rPh sb="6" eb="8">
      <t>ケイサン</t>
    </rPh>
    <phoneticPr fontId="4"/>
  </si>
  <si>
    <t>低層集合独自計算</t>
    <rPh sb="0" eb="2">
      <t>テイソウ</t>
    </rPh>
    <rPh sb="2" eb="4">
      <t>シュウゴウ</t>
    </rPh>
    <rPh sb="4" eb="6">
      <t>ドクジ</t>
    </rPh>
    <rPh sb="6" eb="8">
      <t>ケイサン</t>
    </rPh>
    <phoneticPr fontId="4"/>
  </si>
  <si>
    <t>■住戸数</t>
    <rPh sb="1" eb="4">
      <t>ジュウコスウ</t>
    </rPh>
    <phoneticPr fontId="4"/>
  </si>
  <si>
    <t>戸</t>
    <rPh sb="0" eb="1">
      <t>ト</t>
    </rPh>
    <phoneticPr fontId="4"/>
  </si>
  <si>
    <t>共同住宅</t>
    <rPh sb="0" eb="2">
      <t>キョウドウ</t>
    </rPh>
    <rPh sb="2" eb="4">
      <t>ジュウタク</t>
    </rPh>
    <phoneticPr fontId="4"/>
  </si>
  <si>
    <t>長屋</t>
    <rPh sb="0" eb="2">
      <t>ナガヤ</t>
    </rPh>
    <phoneticPr fontId="4"/>
  </si>
  <si>
    <t>4.1</t>
    <phoneticPr fontId="4"/>
  </si>
  <si>
    <t>1.1.4</t>
    <phoneticPr fontId="4"/>
  </si>
  <si>
    <t>1.1.4.1</t>
    <phoneticPr fontId="4"/>
  </si>
  <si>
    <t>4.2</t>
    <phoneticPr fontId="4"/>
  </si>
  <si>
    <t>4.3</t>
    <phoneticPr fontId="4"/>
  </si>
  <si>
    <t>4.3.1</t>
    <phoneticPr fontId="4"/>
  </si>
  <si>
    <t>4.3.2</t>
    <phoneticPr fontId="4"/>
  </si>
  <si>
    <t>1.4</t>
    <phoneticPr fontId="4"/>
  </si>
  <si>
    <t>1.5</t>
    <phoneticPr fontId="4"/>
  </si>
  <si>
    <t>1.6</t>
    <phoneticPr fontId="4"/>
  </si>
  <si>
    <t>1.2.1</t>
    <phoneticPr fontId="4"/>
  </si>
  <si>
    <t>1.6.1</t>
    <phoneticPr fontId="4"/>
  </si>
  <si>
    <t>1.6.2</t>
    <phoneticPr fontId="4"/>
  </si>
  <si>
    <t>1.6.3</t>
  </si>
  <si>
    <t>1.6.4</t>
  </si>
  <si>
    <t>⇒住戸・共用部シートの階数行数に連動</t>
  </si>
  <si>
    <t>⇒住戸・共用部シートの住戸行数に連動</t>
  </si>
  <si>
    <t>住戸数</t>
    <rPh sb="0" eb="3">
      <t>ジュウコスウ</t>
    </rPh>
    <phoneticPr fontId="4"/>
  </si>
  <si>
    <t>※独自計算</t>
    <rPh sb="1" eb="3">
      <t>ドクジ</t>
    </rPh>
    <rPh sb="3" eb="5">
      <t>ケイサン</t>
    </rPh>
    <phoneticPr fontId="4"/>
  </si>
  <si>
    <t>事務所</t>
    <rPh sb="0" eb="3">
      <t>ジムショ</t>
    </rPh>
    <phoneticPr fontId="4"/>
  </si>
  <si>
    <t>戸建/低層集合</t>
    <rPh sb="0" eb="2">
      <t>コダテ</t>
    </rPh>
    <rPh sb="3" eb="5">
      <t>テイソウ</t>
    </rPh>
    <rPh sb="5" eb="7">
      <t>シュウゴウ</t>
    </rPh>
    <phoneticPr fontId="4"/>
  </si>
  <si>
    <t>residential</t>
    <phoneticPr fontId="4"/>
  </si>
  <si>
    <t>1.戸建</t>
    <rPh sb="2" eb="4">
      <t>コダテ</t>
    </rPh>
    <phoneticPr fontId="4"/>
  </si>
  <si>
    <t>2.低層集合</t>
    <rPh sb="2" eb="4">
      <t>テイソウ</t>
    </rPh>
    <rPh sb="4" eb="6">
      <t>シュウゴウ</t>
    </rPh>
    <phoneticPr fontId="4"/>
  </si>
  <si>
    <t>積極的な太陽光発電の設備の導入</t>
  </si>
  <si>
    <t>2.1.1</t>
    <phoneticPr fontId="4"/>
  </si>
  <si>
    <t>2.1.2</t>
    <phoneticPr fontId="4"/>
  </si>
  <si>
    <t>3.1.1</t>
    <phoneticPr fontId="4"/>
  </si>
  <si>
    <t>3.2</t>
    <phoneticPr fontId="4"/>
  </si>
  <si>
    <t>3.2.1</t>
    <phoneticPr fontId="4"/>
  </si>
  <si>
    <t>3.2.2</t>
    <phoneticPr fontId="4"/>
  </si>
  <si>
    <t>3.3.1</t>
    <phoneticPr fontId="4"/>
  </si>
  <si>
    <t>3.3.2</t>
    <phoneticPr fontId="4"/>
  </si>
  <si>
    <t>1.2.2.1</t>
    <phoneticPr fontId="4"/>
  </si>
  <si>
    <t>1.2.3.1</t>
    <phoneticPr fontId="4"/>
  </si>
  <si>
    <t>1.2.3.2</t>
    <phoneticPr fontId="4"/>
  </si>
  <si>
    <t>1.2.3</t>
    <phoneticPr fontId="4"/>
  </si>
  <si>
    <t>1.2.3.3</t>
    <phoneticPr fontId="4"/>
  </si>
  <si>
    <t>低層集合</t>
    <rPh sb="0" eb="2">
      <t>テイソウ</t>
    </rPh>
    <rPh sb="2" eb="4">
      <t>シュウゴウ</t>
    </rPh>
    <phoneticPr fontId="4"/>
  </si>
  <si>
    <t>戸建基準</t>
    <rPh sb="0" eb="2">
      <t>コダテ</t>
    </rPh>
    <rPh sb="2" eb="4">
      <t>キジュン</t>
    </rPh>
    <phoneticPr fontId="4"/>
  </si>
  <si>
    <t>低層基準</t>
    <rPh sb="0" eb="2">
      <t>テイソウ</t>
    </rPh>
    <rPh sb="2" eb="4">
      <t>キジュン</t>
    </rPh>
    <phoneticPr fontId="4"/>
  </si>
  <si>
    <t>評価する取組み1で1つ以上、取組み2で1つに取組んでいる。</t>
    <phoneticPr fontId="4"/>
  </si>
  <si>
    <t>評価する取組み1で1つ以上、取組み2で2つに取組んでいる。</t>
    <phoneticPr fontId="4"/>
  </si>
  <si>
    <t>評価する取組み1で1つ以上、取組み2で4つに取組んでいる。</t>
    <phoneticPr fontId="4"/>
  </si>
  <si>
    <t>１．家具の転倒防止</t>
    <rPh sb="2" eb="4">
      <t>カグ</t>
    </rPh>
    <rPh sb="5" eb="7">
      <t>テントウ</t>
    </rPh>
    <rPh sb="7" eb="9">
      <t>ボウシ</t>
    </rPh>
    <phoneticPr fontId="4"/>
  </si>
  <si>
    <t>①～②のいずれかに取組んでいる。
①主たる居室から避難するルート上にある家具が造り付されており、転倒の危険性がない。
②主たる居室から避難するルート上に家具が設置される可能性のあるスペースの壁に固定下地が建物側に準備されている。</t>
    <rPh sb="9" eb="11">
      <t>トリク</t>
    </rPh>
    <phoneticPr fontId="4"/>
  </si>
  <si>
    <t>耐震枠付き玄関ドアが設置されている又は構面以外の場所に玄関ドアを配置している。</t>
    <phoneticPr fontId="4"/>
  </si>
  <si>
    <t>主たる居室から避難するルート上にある扉付き家具の扉に耐震ラッチが付されている。</t>
    <phoneticPr fontId="4"/>
  </si>
  <si>
    <t>住戸内廊下等において停電時に使用可能な照明が設置されている。</t>
    <phoneticPr fontId="4"/>
  </si>
  <si>
    <t>住戸内廊下等に面するガラスに破損防止の配慮がされている、あるいはガラスを使用していない。</t>
    <phoneticPr fontId="4"/>
  </si>
  <si>
    <t>内部から取り外し可能な廊下側開口部面格子等が設置されている、あるいは面格子が付けられていない。</t>
    <phoneticPr fontId="4"/>
  </si>
  <si>
    <t>その他避難ルートを確保する取り組みがなされている。</t>
    <phoneticPr fontId="4"/>
  </si>
  <si>
    <t>２．避難ルートの確保</t>
    <phoneticPr fontId="4"/>
  </si>
  <si>
    <t>開口部遮音性能</t>
    <phoneticPr fontId="4"/>
  </si>
  <si>
    <t>界壁遮音性能</t>
    <phoneticPr fontId="4"/>
  </si>
  <si>
    <t>日本住宅性能表示基準の「8-3 透過損失等級（界壁）」における等級１相当の界壁の仕様である。</t>
  </si>
  <si>
    <t>（該当レベルなし）</t>
  </si>
  <si>
    <t>日本住宅性能表示基準の「8-3 透過損失等級（界壁）」における等級2相当の界壁の仕様である。</t>
  </si>
  <si>
    <t>日本住宅性能表示基準の「8-3 透過損失等級（界壁）」における等級3相当の界壁の仕様である。</t>
  </si>
  <si>
    <t>日本住宅性能表示基準の「8-3 透過損失等級（界壁）」における等級4相当の界壁の仕様である。</t>
    <phoneticPr fontId="4"/>
  </si>
  <si>
    <t>界床遮音性能</t>
    <phoneticPr fontId="4"/>
  </si>
  <si>
    <r>
      <t>4.3.1</t>
    </r>
    <r>
      <rPr>
        <b/>
        <sz val="12"/>
        <color rgb="FF008000"/>
        <rFont val="ＭＳ Ｐゴシック"/>
        <family val="2"/>
        <charset val="128"/>
      </rPr>
      <t>　軽量衝撃音に対する遮音性能</t>
    </r>
    <phoneticPr fontId="4"/>
  </si>
  <si>
    <t>日本住宅性能表示基準の「8-2 軽量床衝撃音対策等級」における等級１相当の界床の仕様である。</t>
  </si>
  <si>
    <t>日本住宅性能表示基準の「8-2 軽量床衝撃音対策等級」における等級2相当の界床の仕様である。</t>
  </si>
  <si>
    <t>日本住宅性能表示基準の「8-2 軽量床衝撃音対策等級」における等級3相当の界床の仕様である。</t>
  </si>
  <si>
    <t>日本住宅性能表示基準の「8-2 軽量床衝撃音対策等級」における等級4相当の界床の仕様である。</t>
  </si>
  <si>
    <t>日本住宅性能表示基準の「8-2 軽量床衝撃音対策等級」における等級5相当の界床の仕様である。</t>
  </si>
  <si>
    <r>
      <t>4.3.2</t>
    </r>
    <r>
      <rPr>
        <b/>
        <sz val="12"/>
        <color rgb="FF008000"/>
        <rFont val="ＭＳ Ｐゴシック"/>
        <family val="2"/>
        <charset val="128"/>
      </rPr>
      <t>　重量衝撃音に対する遮音性能</t>
    </r>
    <phoneticPr fontId="4"/>
  </si>
  <si>
    <t>日本住宅性能表示基準の「8-1 重量床衝撃音対策等級」における等級１相当の界床の仕様である。</t>
  </si>
  <si>
    <t>日本住宅性能表示基準の「8-1 重量床衝撃音対策等級」における等級2相当の界床の仕様である。</t>
  </si>
  <si>
    <t>日本住宅性能表示基準の「8-1 重量床衝撃音対策等級」における等級3相当の界床の仕様である。</t>
  </si>
  <si>
    <t>日本住宅性能表示基準の「8-1 重量床衝撃音対策等級」における等級4相当の界床の仕様である。</t>
  </si>
  <si>
    <t>日本住宅性能表示基準の「8-1 重量床衝撃音対策等級」における等級5相当の界床の仕様である。</t>
  </si>
  <si>
    <t>レベル４を満たさない。</t>
  </si>
  <si>
    <t>躯体天井高が2650mm以上である。</t>
  </si>
  <si>
    <t>（加点条件を満たせば選択可能）</t>
  </si>
  <si>
    <t>構造躯体の壁又は柱で間取りの変更の障害となりうるもの（住戸の境界部に存する壁及び柱を除く）が無い。</t>
    <phoneticPr fontId="4"/>
  </si>
  <si>
    <t>電気の配管配線がコンクリートの躯体に埋め込まれていない。</t>
  </si>
  <si>
    <t>構造材を痛めることなく内装を更新できる。</t>
  </si>
  <si>
    <t>水廻りの位置が自由に出来るように床下寸法の確保している。又は排水竪管の位置に配慮している。</t>
  </si>
  <si>
    <t>床先行二重床を採用している。</t>
  </si>
  <si>
    <t>可動間仕切建具等を採用している。</t>
  </si>
  <si>
    <t>日本住宅性能表示基準の「2-7耐火等級(界壁及び界床)」における等級１を満たす。</t>
    <phoneticPr fontId="4"/>
  </si>
  <si>
    <t>日本住宅性能表示基準の「2-7耐火等級(界壁及び界床)」における等級２を満たす。</t>
    <phoneticPr fontId="4"/>
  </si>
  <si>
    <t>日本住宅性能表示基準の「2-7耐火等級(界壁及び界床)」における等級３を満たす。</t>
    <phoneticPr fontId="4"/>
  </si>
  <si>
    <t>日本住宅性能表示基準の「2-7耐火等級(界壁及び界床)」における等級４を満たす。</t>
    <phoneticPr fontId="4"/>
  </si>
  <si>
    <t>レベル3を満たさない</t>
  </si>
  <si>
    <t>(該当するレベルなし)</t>
  </si>
  <si>
    <t>日本住宅性能表示基準の「2-2感知警報装置設置等級（他住戸等火災時）」における等級１または等級２を満たす。</t>
    <phoneticPr fontId="4"/>
  </si>
  <si>
    <t>日本住宅性能表示基準の「2-2感知警報装置設置等級（他住戸等火災時）」における等級３を満たす。</t>
    <phoneticPr fontId="4"/>
  </si>
  <si>
    <t>日本住宅性能表示基準の「2-2感知警報装置設置等級（他住戸等火災時）」における等級４を満たす。</t>
    <phoneticPr fontId="4"/>
  </si>
  <si>
    <t>建物配置</t>
    <phoneticPr fontId="4"/>
  </si>
  <si>
    <t>建物回りに清掃・点検が可能なスペース・通路を設けている</t>
    <phoneticPr fontId="4"/>
  </si>
  <si>
    <t>取組みの例</t>
    <rPh sb="4" eb="5">
      <t>レイ</t>
    </rPh>
    <phoneticPr fontId="4"/>
  </si>
  <si>
    <t>廊下等に清掃のための電源が各階に設けられている</t>
    <phoneticPr fontId="4"/>
  </si>
  <si>
    <t>フラット屋根の場合、屋上点検のための点検口、はしご等が設置されている</t>
    <phoneticPr fontId="4"/>
  </si>
  <si>
    <t>照明等の交換がしやすい配慮がされている</t>
    <phoneticPr fontId="4"/>
  </si>
  <si>
    <t>共通</t>
    <phoneticPr fontId="4"/>
  </si>
  <si>
    <t>建物内
共用部</t>
    <phoneticPr fontId="4"/>
  </si>
  <si>
    <t>床面は適度な水を使用して洗浄可能な仕上げ等を採用している</t>
    <phoneticPr fontId="4"/>
  </si>
  <si>
    <t>ゴミ置き場</t>
    <phoneticPr fontId="4"/>
  </si>
  <si>
    <t>世帯数や回収頻度に応じた容量を確保している※</t>
    <phoneticPr fontId="4"/>
  </si>
  <si>
    <t>ゴミ置き場内もしくは付近に水栓が設置されている</t>
    <phoneticPr fontId="4"/>
  </si>
  <si>
    <t>清掃用具入れが敷地内に確保されている</t>
    <phoneticPr fontId="4"/>
  </si>
  <si>
    <t>管理体制</t>
    <phoneticPr fontId="4"/>
  </si>
  <si>
    <t>外廊下
外階段</t>
    <phoneticPr fontId="4"/>
  </si>
  <si>
    <t>日本住宅性能表示基準「4-1 維持管理対策等級(専用配管)」における等級２を満たす。</t>
  </si>
  <si>
    <t>日本住宅性能表示基準「4-1 維持管理対策等級(専用配管)」における等級３を満たす。</t>
  </si>
  <si>
    <t>日本住宅性能表示基準の「4-1維持管理対策等級(専用配管)」、「4-2維持管理対策等級(共用配管)」、「4-3維持管理対策等級(共用排水管)」においてすべて等級3を満たす。</t>
    <phoneticPr fontId="4"/>
  </si>
  <si>
    <t>3.1.1　住戸の広さと間取り</t>
    <rPh sb="6" eb="8">
      <t>ジュウコ</t>
    </rPh>
    <rPh sb="9" eb="10">
      <t>ヒロ</t>
    </rPh>
    <rPh sb="12" eb="14">
      <t>マド</t>
    </rPh>
    <phoneticPr fontId="4"/>
  </si>
  <si>
    <t>延べ面積＜50㎡</t>
  </si>
  <si>
    <t>延べ面積＜40㎡</t>
  </si>
  <si>
    <t>延べ面積＜30㎡</t>
  </si>
  <si>
    <t>延べ面積＜25㎡</t>
  </si>
  <si>
    <t>50㎡≦延べ面積＜95㎡</t>
  </si>
  <si>
    <t>40㎡≦延べ面積＜75㎡</t>
  </si>
  <si>
    <t>30㎡≦延べ面積＜55㎡</t>
  </si>
  <si>
    <t>25㎡≦延べ面積＜40㎡</t>
  </si>
  <si>
    <t>95㎡≦延べ面積</t>
  </si>
  <si>
    <t>75㎡≦延べ面積</t>
  </si>
  <si>
    <t>55㎡≦延べ面積</t>
  </si>
  <si>
    <t>40㎡≦延べ面積</t>
  </si>
  <si>
    <t>リビング、ダイニングが適正な面積が確保されている</t>
  </si>
  <si>
    <t>各居室に適正な規模の収納スペースが確保されている</t>
  </si>
  <si>
    <t>転倒・衝突時の怪我や入浴時の溺水等を防止する対策を講じている。</t>
    <phoneticPr fontId="4"/>
  </si>
  <si>
    <t>戸建基準</t>
    <rPh sb="0" eb="2">
      <t>コダテ</t>
    </rPh>
    <rPh sb="2" eb="4">
      <t>キジュン</t>
    </rPh>
    <phoneticPr fontId="4"/>
  </si>
  <si>
    <t>低層基準</t>
    <rPh sb="0" eb="2">
      <t>テイソウ</t>
    </rPh>
    <rPh sb="2" eb="4">
      <t>キジュン</t>
    </rPh>
    <phoneticPr fontId="4"/>
  </si>
  <si>
    <t>滑りにくい洗い場の床や転倒や溺水しにくい浴槽の仕様</t>
    <phoneticPr fontId="4"/>
  </si>
  <si>
    <t>壁の凸部、上がり框や手すり・腰壁の笠木等の角の面取り</t>
    <phoneticPr fontId="4"/>
  </si>
  <si>
    <t>ドア、引き戸、収納扉等の指詰め・指はさみを防止する仕様（ソフトクローズ、パッキン等）</t>
    <phoneticPr fontId="4"/>
  </si>
  <si>
    <t>3.2.1　専用部分のバリアフリー対応</t>
    <rPh sb="6" eb="8">
      <t>センヨウ</t>
    </rPh>
    <rPh sb="8" eb="10">
      <t>ブブン</t>
    </rPh>
    <rPh sb="17" eb="19">
      <t>タイオウ</t>
    </rPh>
    <phoneticPr fontId="4"/>
  </si>
  <si>
    <t>日本住宅性能表示基準「9-2高齢者等配慮対策等級（共用部分）」における等級1を満たす。</t>
  </si>
  <si>
    <t>日本住宅性能表示基準「9-2高齢者等配慮対策等級（共用部分）」における等級2を満たす。</t>
  </si>
  <si>
    <t>日本住宅性能表示基準「9-2高齢者等配慮対策等級（共用部分）」における等級3を満たす。</t>
  </si>
  <si>
    <t>日本住宅性能表示基準「9-2 高齢者等配慮対策等級（共用部分）」における等級4以上を満たす。</t>
  </si>
  <si>
    <t>3.2.2　共用部分のバリアフリー対応</t>
    <rPh sb="6" eb="8">
      <t>キョウヨウ</t>
    </rPh>
    <rPh sb="8" eb="10">
      <t>ブブン</t>
    </rPh>
    <rPh sb="17" eb="19">
      <t>タイオウ</t>
    </rPh>
    <phoneticPr fontId="4"/>
  </si>
  <si>
    <t>外部アプローチ部の段差解消</t>
    <rPh sb="0" eb="2">
      <t>ガイブ</t>
    </rPh>
    <phoneticPr fontId="4"/>
  </si>
  <si>
    <t>侵入の可能な位置・規模の開口部に対して、鍵を2箇所以上設置する等侵入防止対策上何らかの措置が採られている。</t>
  </si>
  <si>
    <t>特に対策なし。</t>
  </si>
  <si>
    <t>侵入の可能な位置・規模の開口部に対して、侵入防止対策上有効な措置が採られている。</t>
  </si>
  <si>
    <t>侵入の可能な規模の開口部のすべてに対して、侵入防止対策上有効な措置が採られている。</t>
  </si>
  <si>
    <t>3.3.2　共用部の防犯対策</t>
    <rPh sb="6" eb="9">
      <t>キョウヨウブ</t>
    </rPh>
    <rPh sb="10" eb="12">
      <t>ボウハン</t>
    </rPh>
    <rPh sb="12" eb="14">
      <t>タイサク</t>
    </rPh>
    <phoneticPr fontId="4"/>
  </si>
  <si>
    <t>評価する取組み1のうち、何れか１つ以上に取り組んでいる。</t>
  </si>
  <si>
    <t>レベル３を満たした上で、評価する取組み2のうち、何れか２つ以上に取り組んでいる。</t>
  </si>
  <si>
    <t>レベル４を満たした上で、評価する取組み2のうち、何れか３つ以上に取り組んでいる。</t>
  </si>
  <si>
    <t>・見通しの良いフェンスや低い生垣などによる見通しの確保</t>
  </si>
  <si>
    <t>・屋外通路や駐車場への夜間照明の設置</t>
  </si>
  <si>
    <t>・共用玄関へのオートロックや共用インターフォンの設置</t>
  </si>
  <si>
    <t>・共用玄関や屋内通路への夜間照明の設置</t>
  </si>
  <si>
    <t>・屋外通路や駐車場への防犯カメラの設置</t>
  </si>
  <si>
    <t>・エントランスや屋内通路への防犯カメラの設置</t>
  </si>
  <si>
    <t>・エレベーターへの防犯窓または防犯カメラの設置</t>
  </si>
  <si>
    <t>・塀、柵、垣等が住戸の窓やバルコニー等への足場とならないような配慮</t>
  </si>
  <si>
    <t>・屋外に面する窓への防犯ガラスや面格子等の設置</t>
  </si>
  <si>
    <t>・警備会社へのオンライン通報システムの導入</t>
  </si>
  <si>
    <t>・警備員が24時間常駐あるいは定期的な巡回</t>
  </si>
  <si>
    <t>・威嚇効果のある防犯用センサー照明の設置</t>
  </si>
  <si>
    <t>・駐車場へのゲート設置（建屋内に駐車場のある場合）</t>
  </si>
  <si>
    <t>・上記以外の先進的な防犯措置（生体認証システムなど）</t>
  </si>
  <si>
    <t>周辺からの見通し確保</t>
    <phoneticPr fontId="4"/>
  </si>
  <si>
    <t>居住者以外の出入りの
制限</t>
    <phoneticPr fontId="4"/>
  </si>
  <si>
    <t>防犯カメラの設置</t>
    <phoneticPr fontId="4"/>
  </si>
  <si>
    <t>侵入経路への対策</t>
    <phoneticPr fontId="4"/>
  </si>
  <si>
    <t>警備サービスの利用</t>
    <phoneticPr fontId="4"/>
  </si>
  <si>
    <t>その他防犯対策</t>
    <phoneticPr fontId="4"/>
  </si>
  <si>
    <t>特に配慮無し。</t>
  </si>
  <si>
    <t>評価する取組みのいずれか1つに取組んでいる。</t>
  </si>
  <si>
    <t>評価する取組みのいずれか2つに取組んでいる。</t>
  </si>
  <si>
    <t>洗濯物が外部から見えにくいように配慮されている。</t>
    <phoneticPr fontId="4"/>
  </si>
  <si>
    <t>玄関周りに専用スペースが確保されている。</t>
    <phoneticPr fontId="4"/>
  </si>
  <si>
    <t>玄関周りが、雨掛かりにならないよう配慮されている。</t>
    <phoneticPr fontId="4"/>
  </si>
  <si>
    <t>バルコニーの出幅に余裕を持たせ、アウトドアリビング等として活用できる工夫がされている。</t>
    <phoneticPr fontId="4"/>
  </si>
  <si>
    <t>住戸内への視線を和らげる工夫がされている。</t>
    <phoneticPr fontId="4"/>
  </si>
  <si>
    <t>エアコンや給湯設備等の室外機器・配管が、目立たないよう工夫がされている。</t>
    <phoneticPr fontId="4"/>
  </si>
  <si>
    <t>雨水たて管を、目立たないよう工夫がされている。</t>
  </si>
  <si>
    <t>給気扇・換気扇など屋外フードを目立たないよう工夫されている。</t>
    <phoneticPr fontId="4"/>
  </si>
  <si>
    <t>評価する取組み1、取組み2のそれぞれについて1つ以上に取組んでいる。</t>
    <rPh sb="9" eb="11">
      <t>トリクミ</t>
    </rPh>
    <phoneticPr fontId="4"/>
  </si>
  <si>
    <t>以下の全ての要素が、街区のまちなみから突出せず、連続或いは調和させている。
・建物本体の配置（接道部からセットバックさせる。遠景でスカイラインを合わせる）
・接道部の塀・垣、緑による景観配慮
・建物本体の外壁・屋根の色彩
・駐車場・駐輪場や屋外設備（メーター類）、屋外付帯類等（屋外階段・ゴミ置き場等）の景観配慮</t>
    <phoneticPr fontId="4"/>
  </si>
  <si>
    <t>地域、周辺環境のデザインコード（建物・屋根形状や色、素材）を積極的に取り入れた外観</t>
    <phoneticPr fontId="4"/>
  </si>
  <si>
    <t>積極的な接道部の緑化、地域に応じた樹種選定により良好な景観形成に寄与している。</t>
    <phoneticPr fontId="4"/>
  </si>
  <si>
    <t>外構のつくり方や植栽の配置などについて工夫が行われ、良好な景観形成に寄与している。
・アプローチの演出（ゲート、植栽、照明）
・建物外観と外構の一体的な提案</t>
    <phoneticPr fontId="4"/>
  </si>
  <si>
    <t>既存の景観要素の活用・再利用により、街並み景観の保全を図っている。</t>
    <phoneticPr fontId="4"/>
  </si>
  <si>
    <t>駐車場・駐輪場や屋外設備（メーター類）、屋外付帯類等（屋外階段・ゴミ置き場等）を接道部から見えない位置に配置するなどの配置の工夫</t>
    <phoneticPr fontId="4"/>
  </si>
  <si>
    <t>住戸への侵入の足掛かりを作らない配慮</t>
    <rPh sb="0" eb="2">
      <t>ジュウコ</t>
    </rPh>
    <rPh sb="4" eb="6">
      <t>シンニュウ</t>
    </rPh>
    <rPh sb="7" eb="9">
      <t>アシガ</t>
    </rPh>
    <rPh sb="12" eb="13">
      <t>ツク</t>
    </rPh>
    <rPh sb="16" eb="18">
      <t>ハイリョ</t>
    </rPh>
    <phoneticPr fontId="4"/>
  </si>
  <si>
    <t>取組み１合計＝</t>
    <rPh sb="0" eb="2">
      <t>トリクミ</t>
    </rPh>
    <phoneticPr fontId="4"/>
  </si>
  <si>
    <t>取組み２合計＝</t>
    <rPh sb="0" eb="2">
      <t>トリク</t>
    </rPh>
    <phoneticPr fontId="4"/>
  </si>
  <si>
    <t>多段階評価点 3.0 以上</t>
    <rPh sb="5" eb="6">
      <t>テン</t>
    </rPh>
    <phoneticPr fontId="4"/>
  </si>
  <si>
    <t>多段階評価点 3.0 以上</t>
    <rPh sb="0" eb="1">
      <t>タ</t>
    </rPh>
    <rPh sb="1" eb="3">
      <t>ダンカイ</t>
    </rPh>
    <rPh sb="3" eb="5">
      <t>ヒョウカ</t>
    </rPh>
    <rPh sb="5" eb="6">
      <t>テン</t>
    </rPh>
    <rPh sb="11" eb="13">
      <t>イジョウ</t>
    </rPh>
    <phoneticPr fontId="4"/>
  </si>
  <si>
    <t>多段階評価点 3.0 以上</t>
    <phoneticPr fontId="4"/>
  </si>
  <si>
    <t>下記採点表による採点が、２点以上</t>
    <phoneticPr fontId="4"/>
  </si>
  <si>
    <t>採点表1</t>
    <rPh sb="0" eb="1">
      <t>サイテン</t>
    </rPh>
    <rPh sb="1" eb="2">
      <t>ヒョウ</t>
    </rPh>
    <phoneticPr fontId="4"/>
  </si>
  <si>
    <t>省エネ基準達成率100%以上
（グリル部を有するガスこんろの場合は、こんろ部、グリル部がそれぞれ基準を満たすこと）</t>
    <rPh sb="19" eb="20">
      <t>ブ</t>
    </rPh>
    <rPh sb="21" eb="22">
      <t>ユウ</t>
    </rPh>
    <rPh sb="30" eb="32">
      <t>バアイ</t>
    </rPh>
    <rPh sb="37" eb="38">
      <t>ブ</t>
    </rPh>
    <rPh sb="42" eb="43">
      <t>ブ</t>
    </rPh>
    <rPh sb="48" eb="50">
      <t>キジュン</t>
    </rPh>
    <rPh sb="51" eb="52">
      <t>ミ</t>
    </rPh>
    <phoneticPr fontId="4"/>
  </si>
  <si>
    <t>木質系集合住宅</t>
    <rPh sb="3" eb="5">
      <t>シュウゴウ</t>
    </rPh>
    <phoneticPr fontId="4"/>
  </si>
  <si>
    <t>鉄骨系集合住宅</t>
    <rPh sb="3" eb="5">
      <t>シュウゴウ</t>
    </rPh>
    <phoneticPr fontId="4"/>
  </si>
  <si>
    <t>コンクリート系集合住宅</t>
    <rPh sb="7" eb="9">
      <t>シュウゴウ</t>
    </rPh>
    <phoneticPr fontId="4"/>
  </si>
  <si>
    <t>1.1.1</t>
    <phoneticPr fontId="4"/>
  </si>
  <si>
    <t>1.1.3</t>
    <phoneticPr fontId="4"/>
  </si>
  <si>
    <t>屋根葺材（勾配屋根の場合）または防水材（陸屋根の場合）への省資源・廃棄物抑制に役立つ材料の使用</t>
    <phoneticPr fontId="4"/>
  </si>
  <si>
    <t>屋根下地材（勾配屋根の場合）または防水下地材（陸屋根の場合）への省資源・廃棄物抑制に役立つ材料の使用</t>
    <phoneticPr fontId="4"/>
  </si>
  <si>
    <t>外壁下地材への省資源・廃棄物抑制に役立つ材料の使用</t>
    <phoneticPr fontId="4"/>
  </si>
  <si>
    <t>外壁材への省資源・廃棄物抑制に役立つ材料の使用</t>
    <phoneticPr fontId="4"/>
  </si>
  <si>
    <t>断熱材への省資源・廃棄物抑制に役立つ材料の使用</t>
    <phoneticPr fontId="4"/>
  </si>
  <si>
    <t>外装の一部あるいは過半に、既存建築のリユース材が使用されている。</t>
    <rPh sb="0" eb="2">
      <t>ガイソウ</t>
    </rPh>
    <phoneticPr fontId="4"/>
  </si>
  <si>
    <t>床仕上げ材への省資源・廃棄物抑制に役立つ材料の使用</t>
  </si>
  <si>
    <t>床下地材への省資源・廃棄物抑制に役立つ材料の使用</t>
  </si>
  <si>
    <t>内壁仕上げへの省資源・廃棄物抑制に役立つ材料の使用</t>
  </si>
  <si>
    <t>内壁下地材への省資源・廃棄物抑制に役立つ材料の使用</t>
  </si>
  <si>
    <t>天井仕上げへの省資源・廃棄物抑制に役立つ材料の使用</t>
  </si>
  <si>
    <t>天井下地材への省資源・廃棄物抑制に役立つ材料の使用</t>
  </si>
  <si>
    <t>内装の一部あるいは過半に、既存建築のリユース材が使用されている。</t>
    <rPh sb="0" eb="2">
      <t>ナイソウ</t>
    </rPh>
    <phoneticPr fontId="4"/>
  </si>
  <si>
    <t>戸建</t>
    <rPh sb="0" eb="2">
      <t>コダテ</t>
    </rPh>
    <phoneticPr fontId="4"/>
  </si>
  <si>
    <t>住棟内あるいは外構部に分別ストックスペースを設置している。</t>
    <rPh sb="0" eb="2">
      <t>ジュウトウ</t>
    </rPh>
    <phoneticPr fontId="4"/>
  </si>
  <si>
    <t>地形の保全</t>
    <phoneticPr fontId="4"/>
  </si>
  <si>
    <t>表土の保全</t>
    <phoneticPr fontId="4"/>
  </si>
  <si>
    <t>従前の地形を改変せず、保全している。</t>
    <phoneticPr fontId="4"/>
  </si>
  <si>
    <t>従前の表土を概ね保全している。（従前の表土が植栽に適さないため、良質な土壌を客土した場合も含む）</t>
    <phoneticPr fontId="4"/>
  </si>
  <si>
    <t>（高木：樹高4.0m以上）
①従前生えていた高木を保全している。</t>
    <phoneticPr fontId="4"/>
  </si>
  <si>
    <t>既存樹木の保全</t>
    <phoneticPr fontId="4"/>
  </si>
  <si>
    <t>（低・中木：樹高0.3m以上4.0未満）
②従前生えていた低・中木を保全している。</t>
    <phoneticPr fontId="4"/>
  </si>
  <si>
    <t>（高木：樹高4.0以上）
新植する高木に地域の自生種を採用している。</t>
    <phoneticPr fontId="4"/>
  </si>
  <si>
    <t>（低・中木：樹高0.3m以上4.0未満）
新植する低木に地域の自生種を採用している。</t>
    <phoneticPr fontId="4"/>
  </si>
  <si>
    <t>地域の自生種の採用</t>
    <phoneticPr fontId="4"/>
  </si>
  <si>
    <t>⇒共同住宅／長屋</t>
    <rPh sb="1" eb="3">
      <t>キョウドウ</t>
    </rPh>
    <rPh sb="3" eb="5">
      <t>ジュウタク</t>
    </rPh>
    <rPh sb="6" eb="8">
      <t>ナガヤ</t>
    </rPh>
    <phoneticPr fontId="4"/>
  </si>
  <si>
    <t>日本住宅性能表示基準の「8-4透過損失等級（外壁開口部）」における等級１相当の外壁開口部の仕様である。</t>
  </si>
  <si>
    <t>日本住宅性能表示基準の「8-4透過損失等級（外壁開口部）」における等級２相当の外壁開口部の仕様である。</t>
  </si>
  <si>
    <t>日本住宅性能表示基準の「8-4透過損失等級（外壁開口部）」における等級３相当の外壁開口部の仕様である。</t>
  </si>
  <si>
    <r>
      <t>具体的な取組み</t>
    </r>
    <r>
      <rPr>
        <sz val="9"/>
        <color rgb="FF008000"/>
        <rFont val="ＭＳ Ｐゴシック"/>
        <family val="3"/>
        <charset val="128"/>
      </rPr>
      <t>（概ね30文字）</t>
    </r>
    <rPh sb="0" eb="3">
      <t>グタイテキ</t>
    </rPh>
    <rPh sb="4" eb="6">
      <t>トリク</t>
    </rPh>
    <rPh sb="8" eb="9">
      <t>オオム</t>
    </rPh>
    <rPh sb="12" eb="14">
      <t>モジ</t>
    </rPh>
    <phoneticPr fontId="4"/>
  </si>
  <si>
    <t>評価対象室</t>
    <rPh sb="0" eb="5">
      <t>ヒョウカタイショウシツ</t>
    </rPh>
    <phoneticPr fontId="4"/>
  </si>
  <si>
    <t>号室</t>
    <rPh sb="0" eb="2">
      <t>ゴウシツ</t>
    </rPh>
    <phoneticPr fontId="4"/>
  </si>
  <si>
    <t>一次エネルギー消費量削減率※</t>
    <phoneticPr fontId="4"/>
  </si>
  <si>
    <t>↓BEI＊換算</t>
    <rPh sb="5" eb="7">
      <t>カンサン</t>
    </rPh>
    <phoneticPr fontId="4"/>
  </si>
  <si>
    <t>代表室ではありません</t>
    <rPh sb="0" eb="3">
      <t>ダイヒョウシツ</t>
    </rPh>
    <phoneticPr fontId="4"/>
  </si>
  <si>
    <t>→計画書シートから参照</t>
    <rPh sb="1" eb="4">
      <t>ケイカクショ</t>
    </rPh>
    <rPh sb="9" eb="11">
      <t>サンショウ</t>
    </rPh>
    <phoneticPr fontId="4"/>
  </si>
  <si>
    <t>↑算プロF欄</t>
    <rPh sb="1" eb="2">
      <t>サン</t>
    </rPh>
    <rPh sb="5" eb="6">
      <t>ラン</t>
    </rPh>
    <phoneticPr fontId="4"/>
  </si>
  <si>
    <t>低層</t>
    <rPh sb="0" eb="2">
      <t>テイソウ</t>
    </rPh>
    <phoneticPr fontId="4"/>
  </si>
  <si>
    <t>MJ/年←算定プロC＋F＋G欄</t>
    <rPh sb="3" eb="4">
      <t>ネン</t>
    </rPh>
    <rPh sb="5" eb="7">
      <t>サンテイ</t>
    </rPh>
    <rPh sb="14" eb="15">
      <t>ラン</t>
    </rPh>
    <phoneticPr fontId="4"/>
  </si>
  <si>
    <t>↑算プロ対象面積</t>
    <rPh sb="1" eb="2">
      <t>サン</t>
    </rPh>
    <rPh sb="4" eb="6">
      <t>タイショウ</t>
    </rPh>
    <rPh sb="6" eb="8">
      <t>メンセキ</t>
    </rPh>
    <phoneticPr fontId="4"/>
  </si>
  <si>
    <t>↑仕様基準対象面積</t>
    <rPh sb="1" eb="3">
      <t>シヨウ</t>
    </rPh>
    <rPh sb="3" eb="5">
      <t>キジュン</t>
    </rPh>
    <rPh sb="5" eb="7">
      <t>タイショウ</t>
    </rPh>
    <rPh sb="7" eb="9">
      <t>メンセキ</t>
    </rPh>
    <phoneticPr fontId="4"/>
  </si>
  <si>
    <t>共用部</t>
    <rPh sb="0" eb="3">
      <t>キョウヨウブ</t>
    </rPh>
    <phoneticPr fontId="4"/>
  </si>
  <si>
    <t>↑電気100％想定</t>
    <rPh sb="1" eb="3">
      <t>デンキ</t>
    </rPh>
    <rPh sb="7" eb="9">
      <t>ソウテイ</t>
    </rPh>
    <phoneticPr fontId="4"/>
  </si>
  <si>
    <r>
      <rPr>
        <sz val="10"/>
        <color indexed="18"/>
        <rFont val="ＭＳ Ｐゴシック"/>
        <family val="3"/>
        <charset val="128"/>
      </rPr>
      <t>●建築環境</t>
    </r>
    <r>
      <rPr>
        <sz val="10"/>
        <color indexed="18"/>
        <rFont val="Arial"/>
        <family val="2"/>
      </rPr>
      <t>SDGs</t>
    </r>
    <rPh sb="1" eb="3">
      <t>ケンチク</t>
    </rPh>
    <rPh sb="3" eb="5">
      <t>カンキョウ</t>
    </rPh>
    <phoneticPr fontId="4"/>
  </si>
  <si>
    <r>
      <rPr>
        <sz val="10"/>
        <color indexed="18"/>
        <rFont val="ＭＳ Ｐゴシック"/>
        <family val="3"/>
        <charset val="128"/>
      </rPr>
      <t>●採点ＬＲ３</t>
    </r>
    <rPh sb="1" eb="3">
      <t>サイテン</t>
    </rPh>
    <phoneticPr fontId="4"/>
  </si>
  <si>
    <r>
      <rPr>
        <sz val="10"/>
        <color indexed="18"/>
        <rFont val="ＭＳ Ｐゴシック"/>
        <family val="3"/>
        <charset val="128"/>
      </rPr>
      <t>●結果</t>
    </r>
    <r>
      <rPr>
        <sz val="10"/>
        <color indexed="18"/>
        <rFont val="Arial"/>
        <family val="2"/>
      </rPr>
      <t>(SDGs)</t>
    </r>
    <rPh sb="1" eb="3">
      <t>ケッカ</t>
    </rPh>
    <phoneticPr fontId="4"/>
  </si>
  <si>
    <r>
      <rPr>
        <sz val="10"/>
        <color indexed="18"/>
        <rFont val="ＭＳ Ｐゴシック"/>
        <family val="3"/>
        <charset val="128"/>
      </rPr>
      <t>●</t>
    </r>
    <r>
      <rPr>
        <sz val="10"/>
        <color indexed="18"/>
        <rFont val="Arial"/>
        <family val="2"/>
      </rPr>
      <t>CO2</t>
    </r>
    <r>
      <rPr>
        <sz val="10"/>
        <color indexed="18"/>
        <rFont val="ＭＳ Ｐゴシック"/>
        <family val="3"/>
        <charset val="128"/>
      </rPr>
      <t>データ</t>
    </r>
    <phoneticPr fontId="4"/>
  </si>
  <si>
    <r>
      <rPr>
        <sz val="10"/>
        <color indexed="18"/>
        <rFont val="ＭＳ Ｐゴシック"/>
        <family val="3"/>
        <charset val="128"/>
      </rPr>
      <t>●スコア</t>
    </r>
    <phoneticPr fontId="4"/>
  </si>
  <si>
    <r>
      <rPr>
        <sz val="10"/>
        <color indexed="18"/>
        <rFont val="ＭＳ Ｐゴシック"/>
        <family val="3"/>
        <charset val="128"/>
      </rPr>
      <t>●</t>
    </r>
    <r>
      <rPr>
        <sz val="10"/>
        <color indexed="18"/>
        <rFont val="Arial"/>
        <family val="2"/>
      </rPr>
      <t>CO2</t>
    </r>
    <r>
      <rPr>
        <sz val="10"/>
        <color indexed="18"/>
        <rFont val="ＭＳ Ｐゴシック"/>
        <family val="3"/>
        <charset val="128"/>
      </rPr>
      <t>計算</t>
    </r>
    <rPh sb="4" eb="6">
      <t>ケイサン</t>
    </rPh>
    <phoneticPr fontId="4"/>
  </si>
  <si>
    <t>←低層集計用</t>
    <rPh sb="1" eb="3">
      <t>テイソウ</t>
    </rPh>
    <rPh sb="3" eb="6">
      <t>シュウケイヨウ</t>
    </rPh>
    <phoneticPr fontId="4"/>
  </si>
  <si>
    <t>←低層非表示</t>
    <rPh sb="1" eb="3">
      <t>テイソウ</t>
    </rPh>
    <rPh sb="3" eb="6">
      <t>ヒヒョウジ</t>
    </rPh>
    <phoneticPr fontId="4"/>
  </si>
  <si>
    <r>
      <rPr>
        <sz val="10"/>
        <color rgb="FF008000"/>
        <rFont val="ＭＳ Ｐゴシック"/>
        <family val="3"/>
        <charset val="128"/>
      </rPr>
      <t>●計画書</t>
    </r>
    <rPh sb="1" eb="4">
      <t>ケイカクショ</t>
    </rPh>
    <phoneticPr fontId="4"/>
  </si>
  <si>
    <t>世帯人数⇒評価項目欄に入力してもらう</t>
    <rPh sb="0" eb="4">
      <t>セタイニンズウ</t>
    </rPh>
    <phoneticPr fontId="4"/>
  </si>
  <si>
    <t>代替値2.05(t-CO2/千㎥)/(45MJ/㎥)（ガス事業者別排出係数一覧（令和6年提出用））（令和6年6月28日）</t>
    <phoneticPr fontId="4"/>
  </si>
  <si>
    <t>代替値0.0532(t-CO2/GJ)（熱供給事業者別排出係数一覧（令和6年提出用））（令和6年6月28日）</t>
    <phoneticPr fontId="4"/>
  </si>
  <si>
    <t>※算定・報告・公表制度における算定方法・排出係数一覧（環境省、令和5年12月12日更新（令和6年7月11日一部修正））</t>
    <phoneticPr fontId="4"/>
  </si>
  <si>
    <t>(灯油＋A重油の平均値）</t>
    <rPh sb="1" eb="3">
      <t>トウユ</t>
    </rPh>
    <rPh sb="5" eb="7">
      <t>ジュウユ</t>
    </rPh>
    <rPh sb="8" eb="11">
      <t>ヘイキンチ</t>
    </rPh>
    <phoneticPr fontId="34"/>
  </si>
  <si>
    <t>＜参考＞
電気排出係数 電気事業者別排出係数(特定排出者の温室効果ガス排出量算定用)R4年度実績（令和6年8月29日）</t>
    <rPh sb="5" eb="7">
      <t>デンキ</t>
    </rPh>
    <rPh sb="7" eb="9">
      <t>ハイシュツ</t>
    </rPh>
    <rPh sb="9" eb="11">
      <t>ケイスウ</t>
    </rPh>
    <rPh sb="12" eb="14">
      <t>デンキ</t>
    </rPh>
    <rPh sb="14" eb="17">
      <t>ジギョウシャ</t>
    </rPh>
    <rPh sb="17" eb="18">
      <t>ベツ</t>
    </rPh>
    <rPh sb="18" eb="20">
      <t>ハイシュツ</t>
    </rPh>
    <rPh sb="20" eb="22">
      <t>ケイスウ</t>
    </rPh>
    <rPh sb="23" eb="25">
      <t>トクテイ</t>
    </rPh>
    <rPh sb="25" eb="28">
      <t>ハイシュツシャ</t>
    </rPh>
    <rPh sb="29" eb="31">
      <t>オンシツ</t>
    </rPh>
    <rPh sb="31" eb="33">
      <t>コウカ</t>
    </rPh>
    <rPh sb="35" eb="37">
      <t>ハイシュツ</t>
    </rPh>
    <rPh sb="37" eb="38">
      <t>リョウ</t>
    </rPh>
    <rPh sb="38" eb="40">
      <t>サンテイ</t>
    </rPh>
    <rPh sb="40" eb="41">
      <t>ヨウ</t>
    </rPh>
    <rPh sb="44" eb="46">
      <t>ネンド</t>
    </rPh>
    <rPh sb="46" eb="48">
      <t>ジッセキ</t>
    </rPh>
    <rPh sb="49" eb="51">
      <t>レイワ</t>
    </rPh>
    <rPh sb="52" eb="53">
      <t>ネン</t>
    </rPh>
    <rPh sb="54" eb="55">
      <t>ガツ</t>
    </rPh>
    <rPh sb="57" eb="58">
      <t>ニチ</t>
    </rPh>
    <phoneticPr fontId="4"/>
  </si>
  <si>
    <r>
      <t>CASBEE-</t>
    </r>
    <r>
      <rPr>
        <sz val="10"/>
        <rFont val="Yu Gothic"/>
        <family val="2"/>
        <charset val="128"/>
      </rPr>
      <t>戸建</t>
    </r>
    <r>
      <rPr>
        <sz val="10"/>
        <rFont val="ＭＳ Ｐゴシック"/>
        <family val="3"/>
        <charset val="128"/>
      </rPr>
      <t>（新築）</t>
    </r>
    <r>
      <rPr>
        <sz val="10"/>
        <rFont val="Arial"/>
        <family val="2"/>
      </rPr>
      <t>2025</t>
    </r>
    <r>
      <rPr>
        <sz val="10"/>
        <rFont val="ＭＳ Ｐゴシック"/>
        <family val="3"/>
        <charset val="128"/>
      </rPr>
      <t>年版</t>
    </r>
    <rPh sb="7" eb="9">
      <t>コダテ</t>
    </rPh>
    <rPh sb="10" eb="12">
      <t>シンチク</t>
    </rPh>
    <rPh sb="17" eb="18">
      <t>ネン</t>
    </rPh>
    <rPh sb="18" eb="19">
      <t>バン</t>
    </rPh>
    <phoneticPr fontId="4"/>
  </si>
  <si>
    <t>CASBEE-DH_NC_2025v1.0</t>
    <phoneticPr fontId="4"/>
  </si>
  <si>
    <t>戸建標準計算</t>
  </si>
  <si>
    <t>←太陽光発電分もCO2換算係数（K59）で評価</t>
    <rPh sb="1" eb="4">
      <t>タイヨウコウ</t>
    </rPh>
    <rPh sb="4" eb="7">
      <t>ハツデンブン</t>
    </rPh>
    <rPh sb="11" eb="15">
      <t>カンサンケイスウ</t>
    </rPh>
    <rPh sb="21" eb="23">
      <t>ヒョウカ</t>
    </rPh>
    <phoneticPr fontId="4"/>
  </si>
  <si>
    <t>点</t>
    <rPh sb="0" eb="1">
      <t>テン</t>
    </rPh>
    <phoneticPr fontId="4"/>
  </si>
  <si>
    <t>既存の自然環境・自然資源の保全について、一部配慮されているがレベル４を満たさない。（１点または２点）</t>
    <rPh sb="20" eb="22">
      <t>イチブ</t>
    </rPh>
    <rPh sb="35" eb="36">
      <t>ミ</t>
    </rPh>
    <rPh sb="43" eb="44">
      <t>テン</t>
    </rPh>
    <rPh sb="48" eb="49">
      <t>テン</t>
    </rPh>
    <phoneticPr fontId="4"/>
  </si>
  <si>
    <t>既存の自然環境・自然資源の保全について、標準的な配慮や取組みを行っている（３点以上）</t>
    <rPh sb="38" eb="39">
      <t>テン</t>
    </rPh>
    <phoneticPr fontId="4"/>
  </si>
  <si>
    <t>既存の自然環境をほとんど改変せず、積極的に保全に努めている（５点以上）</t>
    <rPh sb="31" eb="32">
      <t>テン</t>
    </rPh>
    <phoneticPr fontId="4"/>
  </si>
  <si>
    <t>「主寝室」において、建築基準法で求められる有効採光面積を南面の窓あるいは天窓で確保しているか、昼光利用設備がある。</t>
    <rPh sb="1" eb="2">
      <t>シュ</t>
    </rPh>
    <phoneticPr fontId="4"/>
  </si>
  <si>
    <r>
      <t>電気・ガス併用住宅の場合、「内線規程3605-1」に基づいた負荷以上の想定を行って電気幹線容量を設計している。
電気幹線の設計容量VA　≧　40VA／㎡　×　延べ面積㎡　＋　Ｘ
　</t>
    </r>
    <r>
      <rPr>
        <sz val="8"/>
        <rFont val="ＭＳ Ｐゴシック"/>
        <family val="3"/>
        <charset val="128"/>
      </rPr>
      <t>注　）Xは延べ面積に応じて決まる値。詳しくはマニュアルを参照のこと。</t>
    </r>
    <rPh sb="90" eb="91">
      <t>チュウ</t>
    </rPh>
    <rPh sb="95" eb="96">
      <t>ノベ</t>
    </rPh>
    <rPh sb="97" eb="99">
      <t>メンセキ</t>
    </rPh>
    <rPh sb="100" eb="101">
      <t>オウ</t>
    </rPh>
    <rPh sb="103" eb="104">
      <t>キ</t>
    </rPh>
    <rPh sb="106" eb="107">
      <t>アタイ</t>
    </rPh>
    <rPh sb="108" eb="109">
      <t>クワ</t>
    </rPh>
    <rPh sb="118" eb="120">
      <t>サンショウ</t>
    </rPh>
    <phoneticPr fontId="4"/>
  </si>
  <si>
    <r>
      <t>2.1.1</t>
    </r>
    <r>
      <rPr>
        <b/>
        <sz val="12"/>
        <rFont val="ＭＳ Ｐゴシック"/>
        <family val="2"/>
        <charset val="128"/>
      </rPr>
      <t>　共用部内の維持管理</t>
    </r>
    <rPh sb="9" eb="10">
      <t>ナイ</t>
    </rPh>
    <phoneticPr fontId="4"/>
  </si>
  <si>
    <r>
      <t>2.1.2</t>
    </r>
    <r>
      <rPr>
        <b/>
        <sz val="12"/>
        <rFont val="ＭＳ Ｐゴシック"/>
        <family val="2"/>
        <charset val="128"/>
      </rPr>
      <t>　配管等の更新性</t>
    </r>
    <phoneticPr fontId="4"/>
  </si>
  <si>
    <r>
      <t>１</t>
    </r>
    <r>
      <rPr>
        <sz val="9"/>
        <rFont val="ＭＳ Ｐゴシック"/>
        <family val="3"/>
        <charset val="128"/>
      </rPr>
      <t xml:space="preserve">
廊下やバルコニー等に
おける景観への配慮</t>
    </r>
    <phoneticPr fontId="4"/>
  </si>
  <si>
    <r>
      <t>２</t>
    </r>
    <r>
      <rPr>
        <sz val="9"/>
        <rFont val="ＭＳ Ｐゴシック"/>
        <family val="3"/>
        <charset val="128"/>
      </rPr>
      <t xml:space="preserve">
住戸周辺の環境を豊かにする取組み</t>
    </r>
    <rPh sb="2" eb="4">
      <t>ジュウコ</t>
    </rPh>
    <phoneticPr fontId="4"/>
  </si>
  <si>
    <r>
      <t>■評価方法 （LR</t>
    </r>
    <r>
      <rPr>
        <b/>
        <vertAlign val="subscript"/>
        <sz val="10"/>
        <rFont val="ＭＳ Ｐゴシック"/>
        <family val="3"/>
        <charset val="128"/>
      </rPr>
      <t>H</t>
    </r>
    <r>
      <rPr>
        <b/>
        <sz val="10"/>
        <rFont val="ＭＳ Ｐゴシック"/>
        <family val="3"/>
        <charset val="128"/>
      </rPr>
      <t>1.1.2、LR</t>
    </r>
    <r>
      <rPr>
        <b/>
        <vertAlign val="subscript"/>
        <sz val="10"/>
        <rFont val="ＭＳ Ｐゴシック"/>
        <family val="3"/>
        <charset val="128"/>
      </rPr>
      <t>H</t>
    </r>
    <r>
      <rPr>
        <b/>
        <sz val="10"/>
        <rFont val="ＭＳ Ｐゴシック"/>
        <family val="3"/>
        <charset val="128"/>
      </rPr>
      <t>3.1.1、地球温暖化影響チャートにも使用）</t>
    </r>
    <rPh sb="1" eb="3">
      <t>ヒョウカ</t>
    </rPh>
    <rPh sb="3" eb="5">
      <t>ホウホウ</t>
    </rPh>
    <rPh sb="25" eb="32">
      <t>チキュウオンダンカエイキョウ</t>
    </rPh>
    <rPh sb="38" eb="40">
      <t>シヨウ</t>
    </rPh>
    <phoneticPr fontId="4"/>
  </si>
  <si>
    <t>生産・施工段階における廃棄物削減等の環境配慮</t>
    <rPh sb="16" eb="17">
      <t>ナド</t>
    </rPh>
    <rPh sb="18" eb="22">
      <t>カンキョウハイリョ</t>
    </rPh>
    <phoneticPr fontId="4"/>
  </si>
  <si>
    <t>生産・加工段階で副産物の発生抑制、リサイクル推進に取組んでいる構造躯体用部材以外の建材を３つ以上採用するよう設計図書等で指示されているか、実際の取組みが行われている。</t>
    <rPh sb="46" eb="48">
      <t>イジョウ</t>
    </rPh>
    <phoneticPr fontId="4"/>
  </si>
  <si>
    <t>生産・加工段階で副産物の発生抑制、リサイクル推進に取組んでいる構造躯体用部材以外の建材を５つ以上採用するよう設計図書等で指示されているか、実際の取組みが行われている。</t>
    <phoneticPr fontId="4"/>
  </si>
  <si>
    <t>施工段階における副産物の発生抑制、リサイクル推進に対する取り組みについて設計図書等で指示されているか、環境配慮に関する取組みが行われている。</t>
    <phoneticPr fontId="4"/>
  </si>
  <si>
    <t>施工段階における副産物の発生抑制、リサイクル推進に対する取り組みについて設計図書等で指示されており、環境配慮に関する取組みが3つ以上行われている。</t>
    <phoneticPr fontId="4"/>
  </si>
  <si>
    <t>施工段階における副産物の発生抑制、リサイクル推進に対する取り組みについて設計図書等で指示されており、環境配慮に関する取組みが5つ以上行われている。</t>
    <phoneticPr fontId="4"/>
  </si>
  <si>
    <t>本採点項目のレベルはライフサイクルＣＯ２の排出率を1.0～5.0に換算した値（少数第1位まで）で表される。なお、レベル1.0、2.0、3.0、4.0、5.0は以下の排出率で定義される。
レベル1.0：ライフサイクルＣＯ２排出率が、一般的な住宅（参照値）に対して125%以上
レベル2.0：ライフサイクルＣＯ２排出率が、一般的な住宅（参照値）に対して112.5%
レベル3.0：ライフサイクルＣＯ２排出率が、一般的な住宅（参照値）に対して100%
レベル4.0：ライフサイクルＣＯ２排出率が、一般的な住宅（参照値）に対して75%
レベル5.0：ライフサイクルＣＯ２排出率が、一般的な住宅（参照値）に対して50%以下</t>
    <phoneticPr fontId="4"/>
  </si>
  <si>
    <r>
      <t>Q</t>
    </r>
    <r>
      <rPr>
        <vertAlign val="subscript"/>
        <sz val="11"/>
        <rFont val="ＭＳ Ｐゴシック"/>
        <family val="3"/>
        <charset val="128"/>
      </rPr>
      <t>H</t>
    </r>
    <r>
      <rPr>
        <sz val="11"/>
        <rFont val="ＭＳ Ｐゴシック"/>
        <family val="3"/>
        <charset val="128"/>
      </rPr>
      <t>2.1.1 躯体</t>
    </r>
    <rPh sb="8" eb="10">
      <t>クタイ</t>
    </rPh>
    <phoneticPr fontId="4"/>
  </si>
  <si>
    <r>
      <t>LR</t>
    </r>
    <r>
      <rPr>
        <vertAlign val="subscript"/>
        <sz val="10"/>
        <rFont val="ＭＳ Ｐゴシック"/>
        <family val="3"/>
        <charset val="128"/>
      </rPr>
      <t>H</t>
    </r>
    <r>
      <rPr>
        <sz val="10"/>
        <rFont val="ＭＳ Ｐゴシック"/>
        <family val="3"/>
        <charset val="128"/>
      </rPr>
      <t>1.1.1　躯体と設備による</t>
    </r>
    <rPh sb="9" eb="11">
      <t>クタイ</t>
    </rPh>
    <rPh sb="12" eb="14">
      <t>セツビ</t>
    </rPh>
    <phoneticPr fontId="4"/>
  </si>
  <si>
    <r>
      <t>仕様基準でLR</t>
    </r>
    <r>
      <rPr>
        <vertAlign val="subscript"/>
        <sz val="10"/>
        <rFont val="ＭＳ Ｐゴシック"/>
        <family val="3"/>
        <charset val="128"/>
      </rPr>
      <t>H</t>
    </r>
    <r>
      <rPr>
        <sz val="10"/>
        <rFont val="ＭＳ Ｐゴシック"/>
        <family val="3"/>
        <charset val="128"/>
      </rPr>
      <t>1.1.1を評価した室</t>
    </r>
    <rPh sb="0" eb="2">
      <t>シヨウ</t>
    </rPh>
    <rPh sb="2" eb="4">
      <t>キジュン</t>
    </rPh>
    <rPh sb="14" eb="16">
      <t>ヒョウカ</t>
    </rPh>
    <rPh sb="18" eb="19">
      <t>シツ</t>
    </rPh>
    <phoneticPr fontId="4"/>
  </si>
  <si>
    <r>
      <t>Q</t>
    </r>
    <r>
      <rPr>
        <vertAlign val="subscript"/>
        <sz val="11"/>
        <rFont val="ＭＳ Ｐゴシック"/>
        <family val="3"/>
        <charset val="128"/>
      </rPr>
      <t>H</t>
    </r>
    <r>
      <rPr>
        <sz val="11"/>
        <rFont val="ＭＳ Ｐゴシック"/>
        <family val="3"/>
        <charset val="128"/>
      </rPr>
      <t>2.1.2外壁</t>
    </r>
    <rPh sb="7" eb="9">
      <t>ガイヘキ</t>
    </rPh>
    <phoneticPr fontId="4"/>
  </si>
  <si>
    <r>
      <t>Q</t>
    </r>
    <r>
      <rPr>
        <vertAlign val="subscript"/>
        <sz val="11"/>
        <rFont val="ＭＳ Ｐゴシック"/>
        <family val="3"/>
        <charset val="128"/>
      </rPr>
      <t>H</t>
    </r>
    <r>
      <rPr>
        <sz val="11"/>
        <rFont val="ＭＳ Ｐゴシック"/>
        <family val="3"/>
        <charset val="128"/>
      </rPr>
      <t>2.1.3屋根</t>
    </r>
    <rPh sb="7" eb="9">
      <t>ヤネ</t>
    </rPh>
    <phoneticPr fontId="4"/>
  </si>
  <si>
    <r>
      <t>Q</t>
    </r>
    <r>
      <rPr>
        <vertAlign val="subscript"/>
        <sz val="11"/>
        <rFont val="ＭＳ Ｐゴシック"/>
        <family val="3"/>
        <charset val="128"/>
      </rPr>
      <t>H</t>
    </r>
    <r>
      <rPr>
        <sz val="11"/>
        <rFont val="ＭＳ Ｐゴシック"/>
        <family val="3"/>
        <charset val="128"/>
      </rPr>
      <t>2.2.2管理体制</t>
    </r>
    <rPh sb="7" eb="9">
      <t>カンリ</t>
    </rPh>
    <rPh sb="9" eb="11">
      <t>タイセイ</t>
    </rPh>
    <phoneticPr fontId="4"/>
  </si>
  <si>
    <r>
      <t>b.　修繕・更新に係るCO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0">
      <t>カカ</t>
    </rPh>
    <rPh sb="14" eb="16">
      <t>ハイシュツ</t>
    </rPh>
    <rPh sb="16" eb="17">
      <t>リョウ</t>
    </rPh>
    <phoneticPr fontId="4"/>
  </si>
  <si>
    <r>
      <t>Q</t>
    </r>
    <r>
      <rPr>
        <vertAlign val="subscript"/>
        <sz val="11"/>
        <rFont val="ＭＳ Ｐゴシック"/>
        <family val="3"/>
        <charset val="128"/>
      </rPr>
      <t>H</t>
    </r>
    <r>
      <rPr>
        <sz val="11"/>
        <rFont val="ＭＳ Ｐゴシック"/>
        <family val="3"/>
        <charset val="128"/>
      </rPr>
      <t>2.1.1 躯体</t>
    </r>
    <rPh sb="8" eb="10">
      <t>クタイ</t>
    </rPh>
    <phoneticPr fontId="9"/>
  </si>
  <si>
    <r>
      <t>c.　解体に係るCO</t>
    </r>
    <r>
      <rPr>
        <b/>
        <vertAlign val="subscript"/>
        <sz val="11"/>
        <rFont val="ＭＳ Ｐゴシック"/>
        <family val="3"/>
        <charset val="128"/>
      </rPr>
      <t>2</t>
    </r>
    <r>
      <rPr>
        <b/>
        <sz val="11"/>
        <rFont val="ＭＳ Ｐゴシック"/>
        <family val="3"/>
        <charset val="128"/>
      </rPr>
      <t>排出量</t>
    </r>
    <rPh sb="3" eb="5">
      <t>カイタイ</t>
    </rPh>
    <rPh sb="6" eb="7">
      <t>カカ</t>
    </rPh>
    <rPh sb="11" eb="13">
      <t>ハイシュツ</t>
    </rPh>
    <rPh sb="13" eb="14">
      <t>リョウ</t>
    </rPh>
    <phoneticPr fontId="4"/>
  </si>
  <si>
    <r>
      <t>c.　導入設備に係るCO</t>
    </r>
    <r>
      <rPr>
        <b/>
        <vertAlign val="subscript"/>
        <sz val="10"/>
        <rFont val="ＭＳ Ｐゴシック"/>
        <family val="3"/>
        <charset val="128"/>
      </rPr>
      <t>2</t>
    </r>
    <r>
      <rPr>
        <b/>
        <sz val="10"/>
        <rFont val="ＭＳ Ｐゴシック"/>
        <family val="3"/>
        <charset val="128"/>
      </rPr>
      <t>排出量</t>
    </r>
    <rPh sb="3" eb="5">
      <t>ドウニュウ</t>
    </rPh>
    <rPh sb="5" eb="7">
      <t>セツビ</t>
    </rPh>
    <rPh sb="8" eb="9">
      <t>カカ</t>
    </rPh>
    <rPh sb="13" eb="15">
      <t>ハイシュツ</t>
    </rPh>
    <rPh sb="15" eb="16">
      <t>リョウ</t>
    </rPh>
    <phoneticPr fontId="4"/>
  </si>
  <si>
    <r>
      <t>LR</t>
    </r>
    <r>
      <rPr>
        <b/>
        <vertAlign val="subscript"/>
        <sz val="10"/>
        <rFont val="ＭＳ Ｐゴシック"/>
        <family val="3"/>
        <charset val="128"/>
      </rPr>
      <t>H</t>
    </r>
    <r>
      <rPr>
        <b/>
        <sz val="10"/>
        <rFont val="ＭＳ Ｐゴシック"/>
        <family val="3"/>
        <charset val="128"/>
      </rPr>
      <t>1.1.1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排出量算出に用いる一次エネルギー消費量（その他エネルギーを含む）</t>
    </r>
    <rPh sb="9" eb="11">
      <t>シヨウ</t>
    </rPh>
    <rPh sb="11" eb="13">
      <t>キジュン</t>
    </rPh>
    <rPh sb="13" eb="15">
      <t>ヒョウカ</t>
    </rPh>
    <rPh sb="16" eb="18">
      <t>バアイ</t>
    </rPh>
    <rPh sb="44" eb="45">
      <t>ホカ</t>
    </rPh>
    <rPh sb="51" eb="52">
      <t>フク</t>
    </rPh>
    <phoneticPr fontId="4"/>
  </si>
  <si>
    <t>青森県独自基準「あおもりＧＸ住宅」の基準にのっとり環境設計が十分配慮されている</t>
    <rPh sb="0" eb="3">
      <t>アオモリケン</t>
    </rPh>
    <rPh sb="3" eb="5">
      <t>ドクジ</t>
    </rPh>
    <rPh sb="5" eb="7">
      <t>キジュン</t>
    </rPh>
    <rPh sb="14" eb="16">
      <t>ジュウタク</t>
    </rPh>
    <rPh sb="18" eb="20">
      <t>キジュン</t>
    </rPh>
    <rPh sb="25" eb="27">
      <t>カンキョウ</t>
    </rPh>
    <rPh sb="27" eb="29">
      <t>セッケイ</t>
    </rPh>
    <rPh sb="30" eb="32">
      <t>ジュウブン</t>
    </rPh>
    <rPh sb="32" eb="34">
      <t>ハイリョ</t>
    </rPh>
    <phoneticPr fontId="3"/>
  </si>
  <si>
    <t>青森県独自基準「あおもりＧＸ住宅」の推奨基準に適し、等級６、一次エネルギー量削減率が３０％以上削減と高い性能を実現している</t>
    <rPh sb="0" eb="3">
      <t>アオモリケン</t>
    </rPh>
    <rPh sb="3" eb="5">
      <t>ドクジ</t>
    </rPh>
    <rPh sb="5" eb="7">
      <t>キジュン</t>
    </rPh>
    <rPh sb="14" eb="16">
      <t>ジュウタク</t>
    </rPh>
    <rPh sb="18" eb="20">
      <t>スイショウ</t>
    </rPh>
    <rPh sb="20" eb="22">
      <t>キジュン</t>
    </rPh>
    <rPh sb="23" eb="24">
      <t>テキ</t>
    </rPh>
    <rPh sb="26" eb="28">
      <t>トウキュウ</t>
    </rPh>
    <rPh sb="30" eb="32">
      <t>イチジ</t>
    </rPh>
    <rPh sb="37" eb="38">
      <t>リョウ</t>
    </rPh>
    <rPh sb="38" eb="40">
      <t>サクゲン</t>
    </rPh>
    <rPh sb="40" eb="41">
      <t>リツ</t>
    </rPh>
    <rPh sb="45" eb="47">
      <t>イジョウ</t>
    </rPh>
    <rPh sb="47" eb="49">
      <t>サクゲン</t>
    </rPh>
    <rPh sb="50" eb="51">
      <t>タカ</t>
    </rPh>
    <rPh sb="52" eb="54">
      <t>セイノウ</t>
    </rPh>
    <rPh sb="55" eb="57">
      <t>ジツゲン</t>
    </rPh>
    <phoneticPr fontId="3"/>
  </si>
  <si>
    <t>一定の配慮をしている</t>
    <rPh sb="0" eb="2">
      <t>イッテイ</t>
    </rPh>
    <rPh sb="3" eb="5">
      <t>ハイリョ</t>
    </rPh>
    <phoneticPr fontId="3"/>
  </si>
  <si>
    <t>住宅の断熱性能のみならず使用されている設備機器にも環境設計が十分配慮されている</t>
    <rPh sb="0" eb="2">
      <t>ジュウタク</t>
    </rPh>
    <rPh sb="3" eb="5">
      <t>ダンネツ</t>
    </rPh>
    <rPh sb="5" eb="7">
      <t>セイノウ</t>
    </rPh>
    <rPh sb="12" eb="14">
      <t>シヨウ</t>
    </rPh>
    <rPh sb="19" eb="21">
      <t>セツビ</t>
    </rPh>
    <rPh sb="21" eb="23">
      <t>キキ</t>
    </rPh>
    <rPh sb="25" eb="27">
      <t>カンキョウ</t>
    </rPh>
    <rPh sb="27" eb="29">
      <t>セッケイ</t>
    </rPh>
    <rPh sb="30" eb="32">
      <t>ジュウブン</t>
    </rPh>
    <rPh sb="32" eb="34">
      <t>ハイリョ</t>
    </rPh>
    <phoneticPr fontId="3"/>
  </si>
  <si>
    <t>木造</t>
    <rPh sb="0" eb="2">
      <t>モクゾウ</t>
    </rPh>
    <phoneticPr fontId="4"/>
  </si>
  <si>
    <t>平野公彦</t>
    <rPh sb="0" eb="4">
      <t>ヒラノキミヒコ</t>
    </rPh>
    <phoneticPr fontId="4"/>
  </si>
  <si>
    <t>あおもりGX</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</si>
</sst>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176" formatCode="0.0_ "/>
    <numFmt numFmtId="177" formatCode="0.00_ "/>
    <numFmt numFmtId="178" formatCode="0.00_);[Red]\(0.00\)"/>
    <numFmt numFmtId="179" formatCode=";;&quot;&quot;"/>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レベル &quot;#"/>
    <numFmt numFmtId="191" formatCode="#&quot;ポイント&quot;"/>
    <numFmt numFmtId="192" formatCode="#&quot;点&quot;"/>
    <numFmt numFmtId="193" formatCode="0.00;0.00;&quot;&quot;\ "/>
    <numFmt numFmtId="194" formatCode="0.00;0.00;&quot;-&quot;"/>
    <numFmt numFmtId="195" formatCode="0.00;0.00;&quot;対象外&quot;"/>
    <numFmt numFmtId="196" formatCode="&quot;レベル &quot;#0.0;0.00;&quot;対象外&quot;"/>
    <numFmt numFmtId="197" formatCode="0.0;_Ā"/>
    <numFmt numFmtId="198" formatCode="0.000;_Ā"/>
    <numFmt numFmtId="199" formatCode="0_);[Red]\(0\)"/>
    <numFmt numFmtId="200" formatCode="&quot;①&quot;&quot;合&quot;&quot;計&quot;&quot;得&quot;&quot;点&quot;\=#&quot;ポイント&quot;"/>
    <numFmt numFmtId="201" formatCode="&quot;レベル &quot;#0;&quot;対象外&quot;"/>
    <numFmt numFmtId="202" formatCode="#&quot; 点&quot;;\-#&quot; 点&quot;;&quot;0 点&quot;"/>
    <numFmt numFmtId="203" formatCode="0.00_ ;[Red]\-0.00\ "/>
    <numFmt numFmtId="204" formatCode="#0&quot;ポイント&quot;"/>
    <numFmt numFmtId="205" formatCode="&quot;レベル &quot;#0.0;&quot;対象外&quot;"/>
    <numFmt numFmtId="206" formatCode="0.0000_ "/>
    <numFmt numFmtId="207" formatCode="#,##0_);[Red]\(#,##0\)"/>
    <numFmt numFmtId="208" formatCode="0.0%"/>
    <numFmt numFmtId="209" formatCode="0.0000"/>
    <numFmt numFmtId="210" formatCode="0.000000"/>
    <numFmt numFmtId="211" formatCode="&quot;レベル &quot;#0;0.00;&quot;対象外&quot;"/>
    <numFmt numFmtId="212" formatCode="&quot;レベル &quot;#0;0.0;&quot;対象外&quot;"/>
    <numFmt numFmtId="213" formatCode="0.0_);[Red]\(0.0\)"/>
    <numFmt numFmtId="214" formatCode="0.0&quot;/5.0&quot;"/>
    <numFmt numFmtId="215" formatCode="0.000"/>
    <numFmt numFmtId="216" formatCode="#,##0.000;[Red]\-#,##0.000"/>
    <numFmt numFmtId="217" formatCode="0.000000_ "/>
    <numFmt numFmtId="218" formatCode="[$-F800]dddd\,\ mmmm\ dd\,\ yyyy"/>
    <numFmt numFmtId="219" formatCode="#,##0.00_ ;[Red]\-#,##0.00\ "/>
    <numFmt numFmtId="220" formatCode="#,##0_ ;[Red]\-#,##0\ "/>
    <numFmt numFmtId="221" formatCode="#,##0.000_ "/>
    <numFmt numFmtId="222" formatCode="0.0000_);[Red]\(0.0000\)"/>
  </numFmts>
  <fonts count="221">
    <font>
      <sz val="11"/>
      <name val="ＭＳ Ｐゴシック"/>
      <family val="3"/>
      <charset val="128"/>
    </font>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b/>
      <sz val="11"/>
      <name val="ＭＳ Ｐゴシック"/>
      <family val="3"/>
      <charset val="128"/>
    </font>
    <font>
      <sz val="9"/>
      <color indexed="10"/>
      <name val="ＭＳ Ｐゴシック"/>
      <family val="3"/>
      <charset val="128"/>
    </font>
    <font>
      <sz val="8"/>
      <name val="ＭＳ Ｐゴシック"/>
      <family val="3"/>
      <charset val="128"/>
    </font>
    <font>
      <sz val="9"/>
      <color indexed="8"/>
      <name val="ＭＳ Ｐゴシック"/>
      <family val="3"/>
      <charset val="128"/>
    </font>
    <font>
      <b/>
      <sz val="9"/>
      <color indexed="8"/>
      <name val="ＭＳ Ｐゴシック"/>
      <family val="3"/>
      <charset val="128"/>
    </font>
    <font>
      <b/>
      <sz val="9"/>
      <name val="ＭＳ Ｐゴシック"/>
      <family val="3"/>
      <charset val="128"/>
    </font>
    <font>
      <b/>
      <sz val="8"/>
      <color indexed="17"/>
      <name val="ＭＳ Ｐゴシック"/>
      <family val="3"/>
      <charset val="128"/>
    </font>
    <font>
      <b/>
      <sz val="11"/>
      <color indexed="17"/>
      <name val="ＭＳ Ｐゴシック"/>
      <family val="3"/>
      <charset val="128"/>
    </font>
    <font>
      <sz val="10"/>
      <name val="ＭＳ Ｐゴシック"/>
      <family val="3"/>
      <charset val="128"/>
    </font>
    <font>
      <b/>
      <sz val="12"/>
      <color indexed="9"/>
      <name val="Arial"/>
      <family val="2"/>
    </font>
    <font>
      <sz val="10"/>
      <color indexed="9"/>
      <name val="ＭＳ Ｐゴシック"/>
      <family val="3"/>
      <charset val="128"/>
    </font>
    <font>
      <sz val="9"/>
      <color indexed="9"/>
      <name val="ＭＳ Ｐゴシック"/>
      <family val="3"/>
      <charset val="128"/>
    </font>
    <font>
      <b/>
      <sz val="10"/>
      <color indexed="9"/>
      <name val="ＭＳ Ｐゴシック"/>
      <family val="3"/>
      <charset val="128"/>
    </font>
    <font>
      <sz val="10"/>
      <name val="Arial"/>
      <family val="2"/>
    </font>
    <font>
      <b/>
      <sz val="10"/>
      <name val="Arial"/>
      <family val="2"/>
    </font>
    <font>
      <sz val="10"/>
      <color indexed="53"/>
      <name val="ＭＳ Ｐゴシック"/>
      <family val="3"/>
      <charset val="128"/>
    </font>
    <font>
      <sz val="11"/>
      <color indexed="10"/>
      <name val="ＭＳ Ｐゴシック"/>
      <family val="3"/>
      <charset val="128"/>
    </font>
    <font>
      <sz val="11"/>
      <color indexed="8"/>
      <name val="ＭＳ Ｐゴシック"/>
      <family val="3"/>
      <charset val="128"/>
    </font>
    <font>
      <sz val="10"/>
      <color indexed="22"/>
      <name val="ＭＳ Ｐゴシック"/>
      <family val="3"/>
      <charset val="128"/>
    </font>
    <font>
      <sz val="8"/>
      <color indexed="53"/>
      <name val="ＭＳ Ｐゴシック"/>
      <family val="3"/>
      <charset val="128"/>
    </font>
    <font>
      <b/>
      <sz val="9"/>
      <name val="Arial"/>
      <family val="2"/>
    </font>
    <font>
      <sz val="9"/>
      <color indexed="20"/>
      <name val="ＭＳ Ｐゴシック"/>
      <family val="3"/>
      <charset val="128"/>
    </font>
    <font>
      <b/>
      <sz val="10"/>
      <name val="ＭＳ Ｐゴシック"/>
      <family val="3"/>
      <charset val="128"/>
    </font>
    <font>
      <sz val="9"/>
      <color indexed="81"/>
      <name val="ＭＳ Ｐゴシック"/>
      <family val="3"/>
      <charset val="128"/>
    </font>
    <font>
      <b/>
      <sz val="12"/>
      <color indexed="9"/>
      <name val="ＭＳ Ｐゴシック"/>
      <family val="3"/>
      <charset val="128"/>
    </font>
    <font>
      <b/>
      <sz val="9"/>
      <color indexed="9"/>
      <name val="ＭＳ Ｐゴシック"/>
      <family val="3"/>
      <charset val="128"/>
    </font>
    <font>
      <sz val="8"/>
      <color indexed="9"/>
      <name val="ＭＳ Ｐゴシック"/>
      <family val="3"/>
      <charset val="128"/>
    </font>
    <font>
      <sz val="9"/>
      <color indexed="17"/>
      <name val="ＭＳ Ｐゴシック"/>
      <family val="3"/>
      <charset val="128"/>
    </font>
    <font>
      <b/>
      <sz val="12"/>
      <name val="ＭＳ Ｐゴシック"/>
      <family val="3"/>
      <charset val="128"/>
    </font>
    <font>
      <b/>
      <sz val="8"/>
      <name val="ＭＳ Ｐゴシック"/>
      <family val="3"/>
      <charset val="128"/>
    </font>
    <font>
      <b/>
      <sz val="16"/>
      <name val="ＭＳ Ｐゴシック"/>
      <family val="3"/>
      <charset val="128"/>
    </font>
    <font>
      <sz val="11"/>
      <name val="ＭＳ 明朝"/>
      <family val="1"/>
      <charset val="128"/>
    </font>
    <font>
      <sz val="11"/>
      <name val="Arial"/>
      <family val="2"/>
    </font>
    <font>
      <sz val="12"/>
      <name val="ＭＳ Ｐゴシック"/>
      <family val="3"/>
      <charset val="128"/>
    </font>
    <font>
      <sz val="12"/>
      <name val="Arial"/>
      <family val="2"/>
    </font>
    <font>
      <b/>
      <sz val="18"/>
      <name val="Arial"/>
      <family val="2"/>
    </font>
    <font>
      <b/>
      <sz val="12"/>
      <name val="Arial"/>
      <family val="2"/>
    </font>
    <font>
      <b/>
      <sz val="18"/>
      <name val="ＭＳ Ｐゴシック"/>
      <family val="3"/>
      <charset val="128"/>
    </font>
    <font>
      <sz val="8"/>
      <color indexed="17"/>
      <name val="Arial"/>
      <family val="2"/>
    </font>
    <font>
      <b/>
      <sz val="8"/>
      <color indexed="17"/>
      <name val="Arial"/>
      <family val="2"/>
    </font>
    <font>
      <b/>
      <i/>
      <sz val="9"/>
      <name val="Times New Roman"/>
      <family val="1"/>
    </font>
    <font>
      <sz val="8"/>
      <color indexed="9"/>
      <name val="Arial"/>
      <family val="2"/>
    </font>
    <font>
      <sz val="8"/>
      <name val="Arial"/>
      <family val="2"/>
    </font>
    <font>
      <b/>
      <sz val="8"/>
      <name val="Arial"/>
      <family val="2"/>
    </font>
    <font>
      <b/>
      <sz val="6"/>
      <color indexed="9"/>
      <name val="ＭＳ Ｐゴシック"/>
      <family val="3"/>
      <charset val="128"/>
    </font>
    <font>
      <i/>
      <sz val="10"/>
      <name val="ＭＳ Ｐゴシック"/>
      <family val="3"/>
      <charset val="128"/>
    </font>
    <font>
      <sz val="10"/>
      <color indexed="9"/>
      <name val="Arial"/>
      <family val="2"/>
    </font>
    <font>
      <b/>
      <sz val="10"/>
      <color indexed="9"/>
      <name val="Arial"/>
      <family val="2"/>
    </font>
    <font>
      <sz val="11"/>
      <color indexed="9"/>
      <name val="Arial"/>
      <family val="2"/>
    </font>
    <font>
      <b/>
      <i/>
      <sz val="14"/>
      <color indexed="9"/>
      <name val="Arial"/>
      <family val="2"/>
    </font>
    <font>
      <b/>
      <sz val="11"/>
      <name val="Arial"/>
      <family val="2"/>
    </font>
    <font>
      <b/>
      <i/>
      <sz val="9"/>
      <name val="ＭＳ Ｐゴシック"/>
      <family val="3"/>
      <charset val="128"/>
    </font>
    <font>
      <b/>
      <i/>
      <sz val="10"/>
      <name val="Arial"/>
      <family val="2"/>
    </font>
    <font>
      <b/>
      <i/>
      <sz val="11"/>
      <name val="ＭＳ Ｐゴシック"/>
      <family val="3"/>
      <charset val="128"/>
    </font>
    <font>
      <b/>
      <i/>
      <sz val="11"/>
      <name val="Arial"/>
      <family val="2"/>
    </font>
    <font>
      <i/>
      <sz val="11"/>
      <name val="Arial"/>
      <family val="2"/>
    </font>
    <font>
      <b/>
      <sz val="14"/>
      <name val="ＭＳ Ｐゴシック"/>
      <family val="3"/>
      <charset val="128"/>
    </font>
    <font>
      <b/>
      <sz val="11"/>
      <color indexed="8"/>
      <name val="ＭＳ Ｐゴシック"/>
      <family val="3"/>
      <charset val="128"/>
    </font>
    <font>
      <b/>
      <sz val="14"/>
      <name val="Arial"/>
      <family val="2"/>
    </font>
    <font>
      <sz val="11"/>
      <color indexed="10"/>
      <name val="Arial"/>
      <family val="2"/>
    </font>
    <font>
      <sz val="9"/>
      <name val="Arial"/>
      <family val="2"/>
    </font>
    <font>
      <sz val="8"/>
      <color indexed="22"/>
      <name val="Arial"/>
      <family val="2"/>
    </font>
    <font>
      <sz val="11"/>
      <name val="ＭＳ Ｐゴシック"/>
      <family val="3"/>
      <charset val="128"/>
    </font>
    <font>
      <sz val="14"/>
      <name val="ＭＳ Ｐゴシック"/>
      <family val="3"/>
      <charset val="128"/>
    </font>
    <font>
      <b/>
      <sz val="10"/>
      <color indexed="18"/>
      <name val="ＭＳ Ｐゴシック"/>
      <family val="3"/>
      <charset val="128"/>
    </font>
    <font>
      <sz val="10"/>
      <color indexed="18"/>
      <name val="Arial"/>
      <family val="2"/>
    </font>
    <font>
      <b/>
      <sz val="11"/>
      <color indexed="63"/>
      <name val="Arial"/>
      <family val="2"/>
    </font>
    <font>
      <sz val="9"/>
      <color indexed="63"/>
      <name val="Arial"/>
      <family val="2"/>
    </font>
    <font>
      <sz val="9"/>
      <color indexed="10"/>
      <name val="Arial"/>
      <family val="2"/>
    </font>
    <font>
      <b/>
      <sz val="12"/>
      <color indexed="18"/>
      <name val="Arial"/>
      <family val="2"/>
    </font>
    <font>
      <sz val="9"/>
      <color indexed="22"/>
      <name val="ＭＳ Ｐゴシック"/>
      <family val="3"/>
      <charset val="128"/>
    </font>
    <font>
      <b/>
      <sz val="6"/>
      <name val="ＭＳ Ｐゴシック"/>
      <family val="3"/>
      <charset val="128"/>
    </font>
    <font>
      <b/>
      <i/>
      <sz val="24"/>
      <color indexed="17"/>
      <name val="ＭＳ Ｐ明朝"/>
      <family val="1"/>
      <charset val="128"/>
    </font>
    <font>
      <b/>
      <i/>
      <sz val="22"/>
      <name val="ＭＳ Ｐ明朝"/>
      <family val="1"/>
      <charset val="128"/>
    </font>
    <font>
      <b/>
      <sz val="10"/>
      <color indexed="18"/>
      <name val="Arial"/>
      <family val="2"/>
    </font>
    <font>
      <b/>
      <sz val="10"/>
      <color indexed="17"/>
      <name val="ＭＳ Ｐゴシック"/>
      <family val="3"/>
      <charset val="128"/>
    </font>
    <font>
      <sz val="12"/>
      <color indexed="22"/>
      <name val="ＭＳ Ｐゴシック"/>
      <family val="3"/>
      <charset val="128"/>
    </font>
    <font>
      <b/>
      <sz val="9"/>
      <color indexed="63"/>
      <name val="Arial"/>
      <family val="2"/>
    </font>
    <font>
      <sz val="11"/>
      <color indexed="22"/>
      <name val="Arial"/>
      <family val="2"/>
    </font>
    <font>
      <b/>
      <sz val="20"/>
      <color indexed="17"/>
      <name val="ＭＳ Ｐゴシック"/>
      <family val="3"/>
      <charset val="128"/>
    </font>
    <font>
      <b/>
      <i/>
      <sz val="12"/>
      <name val="ＭＳ Ｐゴシック"/>
      <family val="3"/>
      <charset val="128"/>
    </font>
    <font>
      <sz val="12"/>
      <color indexed="10"/>
      <name val="Arial"/>
      <family val="2"/>
    </font>
    <font>
      <b/>
      <sz val="8"/>
      <color indexed="22"/>
      <name val="Arial"/>
      <family val="2"/>
    </font>
    <font>
      <i/>
      <sz val="10"/>
      <color indexed="22"/>
      <name val="ＭＳ Ｐゴシック"/>
      <family val="3"/>
      <charset val="128"/>
    </font>
    <font>
      <sz val="10"/>
      <color indexed="55"/>
      <name val="ＭＳ Ｐゴシック"/>
      <family val="3"/>
      <charset val="128"/>
    </font>
    <font>
      <sz val="11"/>
      <color indexed="55"/>
      <name val="Arial"/>
      <family val="2"/>
    </font>
    <font>
      <sz val="12"/>
      <color indexed="9"/>
      <name val="Arial"/>
      <family val="2"/>
    </font>
    <font>
      <sz val="14"/>
      <color indexed="9"/>
      <name val="Arial"/>
      <family val="2"/>
    </font>
    <font>
      <b/>
      <sz val="36"/>
      <color indexed="17"/>
      <name val="ＭＳ Ｐゴシック"/>
      <family val="3"/>
      <charset val="128"/>
    </font>
    <font>
      <b/>
      <sz val="11"/>
      <color indexed="42"/>
      <name val="Arial"/>
      <family val="2"/>
    </font>
    <font>
      <b/>
      <sz val="11"/>
      <color indexed="42"/>
      <name val="ＭＳ Ｐゴシック"/>
      <family val="3"/>
      <charset val="128"/>
    </font>
    <font>
      <sz val="11"/>
      <name val="ＭＳ Ｐゴシック"/>
      <family val="3"/>
      <charset val="128"/>
    </font>
    <font>
      <sz val="13"/>
      <name val="ＭＳ Ｐゴシック"/>
      <family val="3"/>
      <charset val="128"/>
    </font>
    <font>
      <sz val="8"/>
      <color indexed="17"/>
      <name val="ＭＳ Ｐゴシック"/>
      <family val="3"/>
      <charset val="128"/>
    </font>
    <font>
      <sz val="12"/>
      <color indexed="9"/>
      <name val="ＭＳ Ｐゴシック"/>
      <family val="3"/>
      <charset val="128"/>
    </font>
    <font>
      <sz val="11"/>
      <name val="ＭＳ Ｐゴシック"/>
      <family val="3"/>
      <charset val="128"/>
    </font>
    <font>
      <sz val="10"/>
      <color indexed="17"/>
      <name val="ＭＳ Ｐゴシック"/>
      <family val="3"/>
      <charset val="128"/>
    </font>
    <font>
      <sz val="11"/>
      <name val="ＭＳ Ｐゴシック"/>
      <family val="3"/>
      <charset val="128"/>
    </font>
    <font>
      <b/>
      <i/>
      <sz val="9"/>
      <color indexed="9"/>
      <name val="Arial"/>
      <family val="2"/>
    </font>
    <font>
      <b/>
      <sz val="11"/>
      <color indexed="43"/>
      <name val="Arial"/>
      <family val="2"/>
    </font>
    <font>
      <b/>
      <sz val="11"/>
      <color indexed="43"/>
      <name val="ＭＳ Ｐゴシック"/>
      <family val="3"/>
      <charset val="128"/>
    </font>
    <font>
      <sz val="10"/>
      <color indexed="42"/>
      <name val="Arial"/>
      <family val="2"/>
    </font>
    <font>
      <b/>
      <i/>
      <sz val="14"/>
      <name val="ＭＳ Ｐ明朝"/>
      <family val="1"/>
      <charset val="128"/>
    </font>
    <font>
      <b/>
      <i/>
      <sz val="14"/>
      <color indexed="9"/>
      <name val="ＭＳ Ｐゴシック"/>
      <family val="3"/>
      <charset val="128"/>
    </font>
    <font>
      <vertAlign val="subscript"/>
      <sz val="9"/>
      <name val="ＭＳ Ｐゴシック"/>
      <family val="3"/>
      <charset val="128"/>
    </font>
    <font>
      <sz val="10"/>
      <color indexed="18"/>
      <name val="ＭＳ Ｐゴシック"/>
      <family val="3"/>
      <charset val="128"/>
    </font>
    <font>
      <b/>
      <sz val="11"/>
      <color indexed="10"/>
      <name val="Arial"/>
      <family val="2"/>
    </font>
    <font>
      <sz val="11"/>
      <color indexed="63"/>
      <name val="Arial"/>
      <family val="2"/>
    </font>
    <font>
      <vertAlign val="superscript"/>
      <sz val="10"/>
      <name val="ＭＳ Ｐゴシック"/>
      <family val="3"/>
      <charset val="128"/>
    </font>
    <font>
      <b/>
      <vertAlign val="subscript"/>
      <sz val="12"/>
      <color indexed="9"/>
      <name val="ＭＳ Ｐゴシック"/>
      <family val="3"/>
      <charset val="128"/>
    </font>
    <font>
      <b/>
      <sz val="11"/>
      <color indexed="9"/>
      <name val="ＭＳ Ｐゴシック"/>
      <family val="3"/>
      <charset val="128"/>
    </font>
    <font>
      <b/>
      <sz val="11"/>
      <color indexed="9"/>
      <name val="Arial"/>
      <family val="2"/>
    </font>
    <font>
      <b/>
      <sz val="28"/>
      <name val="ＭＳ Ｐゴシック"/>
      <family val="3"/>
      <charset val="128"/>
    </font>
    <font>
      <b/>
      <sz val="20"/>
      <color indexed="9"/>
      <name val="ＭＳ Ｐゴシック"/>
      <family val="3"/>
      <charset val="128"/>
    </font>
    <font>
      <b/>
      <i/>
      <sz val="20"/>
      <color indexed="9"/>
      <name val="Times New Roman"/>
      <family val="1"/>
    </font>
    <font>
      <vertAlign val="subscript"/>
      <sz val="10"/>
      <name val="ＭＳ Ｐゴシック"/>
      <family val="3"/>
      <charset val="128"/>
    </font>
    <font>
      <vertAlign val="subscript"/>
      <sz val="11"/>
      <name val="ＭＳ Ｐゴシック"/>
      <family val="3"/>
      <charset val="128"/>
    </font>
    <font>
      <b/>
      <sz val="14"/>
      <color indexed="9"/>
      <name val="ＭＳ Ｐゴシック"/>
      <family val="3"/>
      <charset val="128"/>
    </font>
    <font>
      <b/>
      <sz val="8"/>
      <color indexed="9"/>
      <name val="ＭＳ Ｐゴシック"/>
      <family val="3"/>
      <charset val="128"/>
    </font>
    <font>
      <sz val="11"/>
      <color indexed="9"/>
      <name val="ＭＳ Ｐゴシック"/>
      <family val="3"/>
      <charset val="128"/>
    </font>
    <font>
      <b/>
      <vertAlign val="subscript"/>
      <sz val="10"/>
      <name val="ＭＳ Ｐゴシック"/>
      <family val="3"/>
      <charset val="128"/>
    </font>
    <font>
      <b/>
      <vertAlign val="subscript"/>
      <sz val="14"/>
      <name val="Arial"/>
      <family val="2"/>
    </font>
    <font>
      <b/>
      <vertAlign val="subscript"/>
      <sz val="9"/>
      <name val="ＭＳ Ｐゴシック"/>
      <family val="3"/>
      <charset val="128"/>
    </font>
    <font>
      <b/>
      <vertAlign val="subscript"/>
      <sz val="11"/>
      <name val="ＭＳ Ｐゴシック"/>
      <family val="3"/>
      <charset val="128"/>
    </font>
    <font>
      <b/>
      <vertAlign val="subscript"/>
      <sz val="16"/>
      <name val="ＭＳ Ｐゴシック"/>
      <family val="3"/>
      <charset val="128"/>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8"/>
      <color indexed="10"/>
      <name val="ＭＳ Ｐゴシック"/>
      <family val="3"/>
      <charset val="128"/>
    </font>
    <font>
      <sz val="7.5"/>
      <name val="ＭＳ Ｐゴシック"/>
      <family val="3"/>
      <charset val="128"/>
    </font>
    <font>
      <b/>
      <vertAlign val="subscript"/>
      <sz val="12"/>
      <color indexed="9"/>
      <name val="Arial"/>
      <family val="2"/>
    </font>
    <font>
      <sz val="10"/>
      <color indexed="12"/>
      <name val="ＭＳ Ｐゴシック"/>
      <family val="3"/>
      <charset val="128"/>
    </font>
    <font>
      <sz val="10"/>
      <color indexed="10"/>
      <name val="ＭＳ Ｐゴシック"/>
      <family val="3"/>
      <charset val="128"/>
    </font>
    <font>
      <b/>
      <sz val="9"/>
      <color indexed="9"/>
      <name val="Arial"/>
      <family val="2"/>
    </font>
    <font>
      <sz val="9"/>
      <color rgb="FFFF0000"/>
      <name val="ＭＳ Ｐゴシック"/>
      <family val="3"/>
      <charset val="128"/>
    </font>
    <font>
      <sz val="6"/>
      <name val="ＭＳ Ｐゴシック"/>
      <family val="2"/>
      <charset val="128"/>
      <scheme val="minor"/>
    </font>
    <font>
      <sz val="10"/>
      <color rgb="FF00B050"/>
      <name val="ＭＳ Ｐゴシック"/>
      <family val="3"/>
      <charset val="128"/>
    </font>
    <font>
      <b/>
      <sz val="11"/>
      <color theme="0"/>
      <name val="ＭＳ Ｐゴシック"/>
      <family val="3"/>
      <charset val="128"/>
    </font>
    <font>
      <vertAlign val="superscript"/>
      <sz val="11"/>
      <name val="ＭＳ Ｐゴシック"/>
      <family val="3"/>
      <charset val="128"/>
    </font>
    <font>
      <sz val="11"/>
      <color theme="0"/>
      <name val="ＭＳ Ｐゴシック"/>
      <family val="3"/>
      <charset val="128"/>
    </font>
    <font>
      <sz val="16"/>
      <name val="HG丸ｺﾞｼｯｸM-PRO"/>
      <family val="3"/>
      <charset val="128"/>
    </font>
    <font>
      <vertAlign val="subscript"/>
      <sz val="16"/>
      <name val="HG丸ｺﾞｼｯｸM-PRO"/>
      <family val="3"/>
      <charset val="128"/>
    </font>
    <font>
      <sz val="28"/>
      <name val="ＭＳ Ｐゴシック"/>
      <family val="3"/>
      <charset val="128"/>
    </font>
    <font>
      <sz val="9"/>
      <color theme="1"/>
      <name val="ＭＳ Ｐゴシック"/>
      <family val="3"/>
      <charset val="128"/>
    </font>
    <font>
      <vertAlign val="superscript"/>
      <sz val="9"/>
      <name val="ＭＳ Ｐゴシック"/>
      <family val="3"/>
      <charset val="128"/>
    </font>
    <font>
      <sz val="11"/>
      <name val="ＭＳ Ｐゴシック"/>
      <family val="2"/>
      <charset val="128"/>
    </font>
    <font>
      <sz val="11"/>
      <color theme="1"/>
      <name val="ＭＳ Ｐゴシック"/>
      <family val="3"/>
      <charset val="128"/>
    </font>
    <font>
      <b/>
      <sz val="24"/>
      <name val="ＭＳ Ｐゴシック"/>
      <family val="3"/>
      <charset val="128"/>
    </font>
    <font>
      <b/>
      <sz val="10"/>
      <color theme="0"/>
      <name val="ＭＳ Ｐゴシック"/>
      <family val="3"/>
      <charset val="128"/>
    </font>
    <font>
      <sz val="8"/>
      <color theme="0"/>
      <name val="ＭＳ Ｐゴシック"/>
      <family val="3"/>
      <charset val="128"/>
    </font>
    <font>
      <sz val="10"/>
      <color theme="1"/>
      <name val="ＭＳ Ｐゴシック"/>
      <family val="3"/>
      <charset val="128"/>
    </font>
    <font>
      <sz val="12"/>
      <color theme="1"/>
      <name val="ＭＳ Ｐゴシック"/>
      <family val="3"/>
      <charset val="128"/>
    </font>
    <font>
      <sz val="14"/>
      <color theme="1"/>
      <name val="ＭＳ Ｐゴシック"/>
      <family val="3"/>
      <charset val="128"/>
    </font>
    <font>
      <sz val="14"/>
      <color rgb="FF006600"/>
      <name val="ＭＳ Ｐゴシック"/>
      <family val="3"/>
      <charset val="128"/>
    </font>
    <font>
      <sz val="18"/>
      <name val="ＭＳ Ｐゴシック"/>
      <family val="3"/>
      <charset val="128"/>
    </font>
    <font>
      <sz val="16"/>
      <name val="ＭＳ Ｐゴシック"/>
      <family val="3"/>
      <charset val="128"/>
    </font>
    <font>
      <sz val="10"/>
      <color theme="0"/>
      <name val="ＭＳ Ｐゴシック"/>
      <family val="3"/>
      <charset val="128"/>
    </font>
    <font>
      <sz val="9"/>
      <color theme="0"/>
      <name val="ＭＳ Ｐゴシック"/>
      <family val="3"/>
      <charset val="128"/>
    </font>
    <font>
      <b/>
      <sz val="12"/>
      <color theme="0"/>
      <name val="ＭＳ Ｐゴシック"/>
      <family val="3"/>
      <charset val="128"/>
    </font>
    <font>
      <sz val="11"/>
      <color rgb="FFFF0000"/>
      <name val="ＭＳ Ｐゴシック"/>
      <family val="2"/>
      <charset val="128"/>
    </font>
    <font>
      <sz val="9"/>
      <name val="游ゴシック"/>
      <family val="3"/>
      <charset val="128"/>
    </font>
    <font>
      <b/>
      <sz val="9"/>
      <color theme="0"/>
      <name val="游ゴシック"/>
      <family val="3"/>
      <charset val="128"/>
    </font>
    <font>
      <b/>
      <sz val="14"/>
      <color theme="0"/>
      <name val="ＭＳ Ｐゴシック"/>
      <family val="3"/>
      <charset val="128"/>
    </font>
    <font>
      <b/>
      <sz val="12"/>
      <color rgb="FFFFFFFF"/>
      <name val="ＭＳ Ｐゴシック"/>
      <family val="2"/>
      <charset val="128"/>
    </font>
    <font>
      <sz val="9"/>
      <color rgb="FF000000"/>
      <name val="Meiryo UI"/>
      <family val="3"/>
      <charset val="128"/>
    </font>
    <font>
      <sz val="9"/>
      <color theme="8"/>
      <name val="ＭＳ Ｐゴシック"/>
      <family val="3"/>
      <charset val="128"/>
    </font>
    <font>
      <sz val="9"/>
      <color rgb="FFC00000"/>
      <name val="ＭＳ Ｐゴシック"/>
      <family val="3"/>
      <charset val="128"/>
    </font>
    <font>
      <b/>
      <sz val="12"/>
      <color rgb="FFC00000"/>
      <name val="Arial"/>
      <family val="2"/>
    </font>
    <font>
      <b/>
      <sz val="12"/>
      <color rgb="FFC00000"/>
      <name val="ＭＳ Ｐゴシック"/>
      <family val="3"/>
      <charset val="128"/>
    </font>
    <font>
      <sz val="12"/>
      <color rgb="FFC00000"/>
      <name val="ＭＳ Ｐゴシック"/>
      <family val="3"/>
      <charset val="128"/>
    </font>
    <font>
      <sz val="11"/>
      <color rgb="FFC00000"/>
      <name val="ＭＳ Ｐゴシック"/>
      <family val="3"/>
      <charset val="128"/>
    </font>
    <font>
      <b/>
      <i/>
      <sz val="12"/>
      <color rgb="FFC00000"/>
      <name val="ＭＳ Ｐゴシック"/>
      <family val="3"/>
      <charset val="128"/>
    </font>
    <font>
      <sz val="12"/>
      <color rgb="FFC00000"/>
      <name val="Arial"/>
      <family val="2"/>
    </font>
    <font>
      <b/>
      <sz val="9"/>
      <color rgb="FFC00000"/>
      <name val="ＭＳ Ｐゴシック"/>
      <family val="3"/>
      <charset val="128"/>
    </font>
    <font>
      <b/>
      <sz val="12"/>
      <color theme="8"/>
      <name val="Arial"/>
      <family val="2"/>
    </font>
    <font>
      <b/>
      <sz val="12"/>
      <color theme="8"/>
      <name val="ＭＳ Ｐゴシック"/>
      <family val="3"/>
      <charset val="128"/>
    </font>
    <font>
      <sz val="12"/>
      <color theme="8"/>
      <name val="ＭＳ Ｐゴシック"/>
      <family val="3"/>
      <charset val="128"/>
    </font>
    <font>
      <sz val="11"/>
      <color theme="8"/>
      <name val="ＭＳ Ｐゴシック"/>
      <family val="3"/>
      <charset val="128"/>
    </font>
    <font>
      <b/>
      <sz val="12"/>
      <color theme="1"/>
      <name val="Arial"/>
      <family val="2"/>
    </font>
    <font>
      <sz val="10"/>
      <color theme="8"/>
      <name val="ＭＳ Ｐゴシック"/>
      <family val="3"/>
      <charset val="128"/>
    </font>
    <font>
      <sz val="11"/>
      <color rgb="FFFF0000"/>
      <name val="ＭＳ Ｐゴシック"/>
      <family val="3"/>
      <charset val="128"/>
    </font>
    <font>
      <b/>
      <sz val="11"/>
      <color rgb="FFC00000"/>
      <name val="ＭＳ Ｐゴシック"/>
      <family val="3"/>
      <charset val="128"/>
    </font>
    <font>
      <b/>
      <sz val="11"/>
      <color rgb="FFFF0000"/>
      <name val="ＭＳ Ｐゴシック"/>
      <family val="3"/>
      <charset val="128"/>
    </font>
    <font>
      <b/>
      <sz val="11"/>
      <color theme="8"/>
      <name val="ＭＳ Ｐゴシック"/>
      <family val="3"/>
      <charset val="128"/>
    </font>
    <font>
      <sz val="10"/>
      <color rgb="FFFF0000"/>
      <name val="ＭＳ Ｐゴシック"/>
      <family val="3"/>
      <charset val="128"/>
    </font>
    <font>
      <sz val="14"/>
      <color theme="8"/>
      <name val="ＭＳ Ｐゴシック"/>
      <family val="3"/>
      <charset val="128"/>
    </font>
    <font>
      <b/>
      <sz val="9"/>
      <color rgb="FFFF0000"/>
      <name val="ＭＳ Ｐゴシック"/>
      <family val="3"/>
      <charset val="128"/>
    </font>
    <font>
      <i/>
      <sz val="10"/>
      <color theme="1"/>
      <name val="ＭＳ Ｐゴシック"/>
      <family val="3"/>
      <charset val="128"/>
    </font>
    <font>
      <sz val="9"/>
      <color indexed="81"/>
      <name val="MS P ゴシック"/>
      <family val="3"/>
      <charset val="128"/>
    </font>
    <font>
      <b/>
      <sz val="9"/>
      <color indexed="81"/>
      <name val="MS P ゴシック"/>
      <family val="3"/>
      <charset val="128"/>
    </font>
    <font>
      <sz val="11"/>
      <color theme="1"/>
      <name val="ＭＳ Ｐゴシック"/>
      <family val="2"/>
      <charset val="128"/>
    </font>
    <font>
      <sz val="10"/>
      <color rgb="FF008000"/>
      <name val="ＭＳ Ｐゴシック"/>
      <family val="3"/>
      <charset val="128"/>
    </font>
    <font>
      <sz val="10"/>
      <name val="Yu Gothic"/>
      <family val="2"/>
      <charset val="128"/>
    </font>
    <font>
      <b/>
      <sz val="10"/>
      <color rgb="FF008000"/>
      <name val="ＭＳ Ｐゴシック"/>
      <family val="3"/>
      <charset val="128"/>
    </font>
    <font>
      <sz val="11"/>
      <color theme="0" tint="-0.34998626667073579"/>
      <name val="ＭＳ Ｐゴシック"/>
      <family val="3"/>
      <charset val="128"/>
    </font>
    <font>
      <b/>
      <sz val="9"/>
      <color rgb="FF008000"/>
      <name val="Arial"/>
      <family val="2"/>
    </font>
    <font>
      <sz val="9"/>
      <color rgb="FF008000"/>
      <name val="ＭＳ Ｐゴシック"/>
      <family val="3"/>
      <charset val="128"/>
    </font>
    <font>
      <b/>
      <sz val="12"/>
      <color rgb="FF008000"/>
      <name val="Arial"/>
      <family val="2"/>
    </font>
    <font>
      <b/>
      <sz val="12"/>
      <color rgb="FF008000"/>
      <name val="ＭＳ Ｐゴシック"/>
      <family val="3"/>
      <charset val="128"/>
    </font>
    <font>
      <b/>
      <sz val="12"/>
      <color rgb="FF008000"/>
      <name val="ＭＳ Ｐゴシック"/>
      <family val="2"/>
      <charset val="128"/>
    </font>
    <font>
      <b/>
      <sz val="11"/>
      <color rgb="FF008000"/>
      <name val="ＭＳ Ｐゴシック"/>
      <family val="3"/>
      <charset val="128"/>
    </font>
    <font>
      <b/>
      <sz val="9"/>
      <color rgb="FF008000"/>
      <name val="ＭＳ Ｐゴシック"/>
      <family val="3"/>
      <charset val="128"/>
    </font>
    <font>
      <sz val="9"/>
      <color theme="4"/>
      <name val="ＭＳ Ｐゴシック"/>
      <family val="3"/>
      <charset val="128"/>
    </font>
    <font>
      <sz val="10"/>
      <color rgb="FF0070C0"/>
      <name val="ＭＳ Ｐゴシック"/>
      <family val="3"/>
      <charset val="128"/>
    </font>
    <font>
      <sz val="10"/>
      <color rgb="FF008000"/>
      <name val="Arial"/>
      <family val="2"/>
    </font>
    <font>
      <sz val="10"/>
      <color indexed="18"/>
      <name val="ＭＳ Ｐゴシック"/>
      <family val="3"/>
      <charset val="128"/>
      <scheme val="minor"/>
    </font>
    <font>
      <b/>
      <sz val="12"/>
      <name val="ＭＳ Ｐゴシック"/>
      <family val="2"/>
      <charset val="128"/>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3"/>
        <bgColor indexed="64"/>
      </patternFill>
    </fill>
    <fill>
      <patternFill patternType="solid">
        <fgColor indexed="63"/>
        <bgColor indexed="64"/>
      </patternFill>
    </fill>
    <fill>
      <patternFill patternType="solid">
        <fgColor indexed="17"/>
        <bgColor indexed="64"/>
      </patternFill>
    </fill>
    <fill>
      <patternFill patternType="solid">
        <fgColor indexed="41"/>
        <bgColor indexed="64"/>
      </patternFill>
    </fill>
    <fill>
      <patternFill patternType="solid">
        <fgColor indexed="8"/>
        <bgColor indexed="64"/>
      </patternFill>
    </fill>
    <fill>
      <patternFill patternType="solid">
        <fgColor indexed="47"/>
        <bgColor indexed="64"/>
      </patternFill>
    </fill>
    <fill>
      <patternFill patternType="solid">
        <fgColor indexed="13"/>
        <bgColor indexed="64"/>
      </patternFill>
    </fill>
    <fill>
      <patternFill patternType="solid">
        <fgColor indexed="40"/>
        <bgColor indexed="64"/>
      </patternFill>
    </fill>
    <fill>
      <patternFill patternType="solid">
        <fgColor indexed="55"/>
        <bgColor indexed="64"/>
      </patternFill>
    </fill>
    <fill>
      <patternFill patternType="solid">
        <fgColor indexed="42"/>
        <bgColor indexed="64"/>
      </patternFill>
    </fill>
    <fill>
      <patternFill patternType="solid">
        <fgColor indexed="14"/>
        <bgColor indexed="64"/>
      </patternFill>
    </fill>
    <fill>
      <patternFill patternType="solid">
        <fgColor indexed="22"/>
        <bgColor indexed="45"/>
      </patternFill>
    </fill>
    <fill>
      <patternFill patternType="lightTrellis"/>
    </fill>
    <fill>
      <patternFill patternType="solid">
        <fgColor indexed="27"/>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1"/>
        <bgColor indexed="64"/>
      </patternFill>
    </fill>
    <fill>
      <patternFill patternType="solid">
        <fgColor theme="0" tint="-0.499984740745262"/>
        <bgColor indexed="64"/>
      </patternFill>
    </fill>
    <fill>
      <patternFill patternType="solid">
        <fgColor rgb="FFFF6C6F"/>
        <bgColor theme="0"/>
      </patternFill>
    </fill>
    <fill>
      <patternFill patternType="solid">
        <fgColor rgb="FFFFE699"/>
        <bgColor indexed="64"/>
      </patternFill>
    </fill>
    <fill>
      <patternFill patternType="solid">
        <fgColor rgb="FF78C965"/>
        <bgColor indexed="64"/>
      </patternFill>
    </fill>
    <fill>
      <patternFill patternType="solid">
        <fgColor theme="0" tint="-0.14999847407452621"/>
        <bgColor indexed="64"/>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rgb="FFB4C6E7"/>
        <bgColor indexed="64"/>
      </patternFill>
    </fill>
    <fill>
      <patternFill patternType="solid">
        <fgColor rgb="FF9BE27E"/>
        <bgColor indexed="64"/>
      </patternFill>
    </fill>
    <fill>
      <patternFill patternType="solid">
        <fgColor rgb="FF9BC2E6"/>
        <bgColor indexed="64"/>
      </patternFill>
    </fill>
    <fill>
      <patternFill patternType="solid">
        <fgColor rgb="FF6DADDD"/>
        <bgColor indexed="64"/>
      </patternFill>
    </fill>
    <fill>
      <patternFill patternType="solid">
        <fgColor theme="0" tint="-0.249977111117893"/>
        <bgColor theme="0"/>
      </patternFill>
    </fill>
    <fill>
      <patternFill patternType="solid">
        <fgColor theme="2" tint="-0.749992370372631"/>
        <bgColor indexed="64"/>
      </patternFill>
    </fill>
    <fill>
      <patternFill patternType="solid">
        <fgColor theme="9" tint="0.59999389629810485"/>
        <bgColor indexed="64"/>
      </patternFill>
    </fill>
    <fill>
      <patternFill patternType="solid">
        <fgColor rgb="FFC0C0C0"/>
        <bgColor indexed="64"/>
      </patternFill>
    </fill>
  </fills>
  <borders count="33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style="thin">
        <color indexed="57"/>
      </bottom>
      <diagonal/>
    </border>
    <border>
      <left style="medium">
        <color indexed="17"/>
      </left>
      <right/>
      <top/>
      <bottom/>
      <diagonal/>
    </border>
    <border>
      <left/>
      <right style="medium">
        <color indexed="17"/>
      </right>
      <top/>
      <bottom/>
      <diagonal/>
    </border>
    <border>
      <left style="medium">
        <color indexed="17"/>
      </left>
      <right/>
      <top style="medium">
        <color indexed="17"/>
      </top>
      <bottom/>
      <diagonal/>
    </border>
    <border>
      <left style="medium">
        <color indexed="17"/>
      </left>
      <right style="medium">
        <color indexed="17"/>
      </right>
      <top/>
      <bottom style="medium">
        <color indexed="17"/>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17"/>
      </top>
      <bottom/>
      <diagonal/>
    </border>
    <border>
      <left/>
      <right style="medium">
        <color indexed="17"/>
      </right>
      <top/>
      <bottom style="medium">
        <color indexed="17"/>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thin">
        <color indexed="64"/>
      </left>
      <right style="dashed">
        <color indexed="64"/>
      </right>
      <top/>
      <bottom/>
      <diagonal/>
    </border>
    <border>
      <left style="dashed">
        <color indexed="64"/>
      </left>
      <right/>
      <top/>
      <bottom/>
      <diagonal/>
    </border>
    <border>
      <left style="medium">
        <color indexed="64"/>
      </left>
      <right/>
      <top style="medium">
        <color indexed="23"/>
      </top>
      <bottom style="medium">
        <color indexed="23"/>
      </bottom>
      <diagonal/>
    </border>
    <border>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style="medium">
        <color indexed="64"/>
      </left>
      <right/>
      <top style="thin">
        <color indexed="64"/>
      </top>
      <bottom style="medium">
        <color indexed="23"/>
      </bottom>
      <diagonal/>
    </border>
    <border>
      <left style="medium">
        <color indexed="64"/>
      </left>
      <right/>
      <top/>
      <bottom style="medium">
        <color indexed="23"/>
      </bottom>
      <diagonal/>
    </border>
    <border>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dashed">
        <color indexed="64"/>
      </left>
      <right style="thin">
        <color indexed="64"/>
      </right>
      <top/>
      <bottom/>
      <diagonal/>
    </border>
    <border>
      <left style="medium">
        <color indexed="64"/>
      </left>
      <right style="medium">
        <color indexed="64"/>
      </right>
      <top/>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ash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medium">
        <color indexed="64"/>
      </left>
      <right style="medium">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medium">
        <color indexed="64"/>
      </top>
      <bottom/>
      <diagonal/>
    </border>
    <border>
      <left/>
      <right style="thin">
        <color indexed="64"/>
      </right>
      <top style="thin">
        <color indexed="64"/>
      </top>
      <bottom/>
      <diagonal/>
    </border>
    <border>
      <left style="thin">
        <color indexed="64"/>
      </left>
      <right style="dashed">
        <color indexed="64"/>
      </right>
      <top style="medium">
        <color indexed="23"/>
      </top>
      <bottom style="thin">
        <color indexed="64"/>
      </bottom>
      <diagonal/>
    </border>
    <border>
      <left/>
      <right/>
      <top style="thin">
        <color indexed="64"/>
      </top>
      <bottom style="medium">
        <color indexed="64"/>
      </bottom>
      <diagonal/>
    </border>
    <border>
      <left style="medium">
        <color indexed="64"/>
      </left>
      <right/>
      <top style="medium">
        <color indexed="23"/>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dashed">
        <color indexed="64"/>
      </right>
      <top style="medium">
        <color indexed="64"/>
      </top>
      <bottom/>
      <diagonal/>
    </border>
    <border>
      <left style="thin">
        <color indexed="64"/>
      </left>
      <right style="dashed">
        <color indexed="64"/>
      </right>
      <top style="medium">
        <color indexed="64"/>
      </top>
      <bottom style="medium">
        <color indexed="23"/>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medium">
        <color indexed="64"/>
      </bottom>
      <diagonal/>
    </border>
    <border>
      <left style="medium">
        <color indexed="17"/>
      </left>
      <right/>
      <top/>
      <bottom style="medium">
        <color indexed="17"/>
      </bottom>
      <diagonal/>
    </border>
    <border>
      <left style="thin">
        <color indexed="64"/>
      </left>
      <right/>
      <top style="medium">
        <color indexed="64"/>
      </top>
      <bottom style="hair">
        <color indexed="64"/>
      </bottom>
      <diagonal/>
    </border>
    <border>
      <left/>
      <right/>
      <top style="hair">
        <color indexed="64"/>
      </top>
      <bottom style="hair">
        <color indexed="64"/>
      </bottom>
      <diagonal/>
    </border>
    <border>
      <left style="medium">
        <color indexed="64"/>
      </left>
      <right/>
      <top style="thin">
        <color indexed="64"/>
      </top>
      <bottom style="medium">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ashed">
        <color indexed="64"/>
      </left>
      <right style="thin">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style="dashed">
        <color indexed="64"/>
      </right>
      <top style="medium">
        <color indexed="23"/>
      </top>
      <bottom/>
      <diagonal/>
    </border>
    <border>
      <left/>
      <right style="thin">
        <color indexed="64"/>
      </right>
      <top style="medium">
        <color indexed="23"/>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hair">
        <color indexed="64"/>
      </bottom>
      <diagonal/>
    </border>
    <border>
      <left style="medium">
        <color indexed="9"/>
      </left>
      <right/>
      <top style="medium">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top style="medium">
        <color indexed="64"/>
      </top>
      <bottom/>
      <diagonal/>
    </border>
    <border>
      <left style="hair">
        <color indexed="64"/>
      </left>
      <right style="medium">
        <color indexed="64"/>
      </right>
      <top style="thin">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diagonal/>
    </border>
    <border>
      <left/>
      <right style="medium">
        <color indexed="64"/>
      </right>
      <top/>
      <bottom style="hair">
        <color indexed="64"/>
      </bottom>
      <diagonal/>
    </border>
    <border>
      <left style="medium">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indexed="64"/>
      </left>
      <right style="medium">
        <color indexed="17"/>
      </right>
      <top style="thin">
        <color indexed="64"/>
      </top>
      <bottom style="thin">
        <color indexed="64"/>
      </bottom>
      <diagonal/>
    </border>
    <border>
      <left style="dashed">
        <color indexed="64"/>
      </left>
      <right style="medium">
        <color indexed="64"/>
      </right>
      <top/>
      <bottom style="thin">
        <color indexed="64"/>
      </bottom>
      <diagonal/>
    </border>
    <border>
      <left style="medium">
        <color indexed="17"/>
      </left>
      <right/>
      <top style="hair">
        <color indexed="64"/>
      </top>
      <bottom style="hair">
        <color indexed="64"/>
      </bottom>
      <diagonal/>
    </border>
    <border>
      <left/>
      <right/>
      <top/>
      <bottom style="medium">
        <color indexed="17"/>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bottom style="medium">
        <color indexed="64"/>
      </bottom>
      <diagonal/>
    </border>
    <border>
      <left/>
      <right style="medium">
        <color indexed="64"/>
      </right>
      <top style="hair">
        <color indexed="64"/>
      </top>
      <bottom/>
      <diagonal/>
    </border>
    <border>
      <left style="medium">
        <color indexed="64"/>
      </left>
      <right/>
      <top style="hair">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23"/>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17"/>
      </left>
      <right style="thin">
        <color indexed="64"/>
      </right>
      <top/>
      <bottom/>
      <diagonal/>
    </border>
    <border>
      <left style="medium">
        <color indexed="64"/>
      </left>
      <right style="thin">
        <color indexed="64"/>
      </right>
      <top style="hair">
        <color indexed="64"/>
      </top>
      <bottom/>
      <diagonal/>
    </border>
    <border>
      <left style="medium">
        <color indexed="17"/>
      </left>
      <right style="medium">
        <color indexed="17"/>
      </right>
      <top/>
      <bottom/>
      <diagonal/>
    </border>
    <border>
      <left style="medium">
        <color indexed="17"/>
      </left>
      <right style="medium">
        <color indexed="17"/>
      </right>
      <top style="thin">
        <color indexed="9"/>
      </top>
      <bottom style="thin">
        <color indexed="9"/>
      </bottom>
      <diagonal/>
    </border>
    <border>
      <left/>
      <right style="medium">
        <color indexed="17"/>
      </right>
      <top style="hair">
        <color indexed="64"/>
      </top>
      <bottom style="hair">
        <color indexed="64"/>
      </bottom>
      <diagonal/>
    </border>
    <border>
      <left style="medium">
        <color indexed="17"/>
      </left>
      <right/>
      <top style="medium">
        <color indexed="17"/>
      </top>
      <bottom style="hair">
        <color indexed="64"/>
      </bottom>
      <diagonal/>
    </border>
    <border>
      <left/>
      <right style="medium">
        <color indexed="17"/>
      </right>
      <top style="medium">
        <color indexed="17"/>
      </top>
      <bottom style="hair">
        <color indexed="64"/>
      </bottom>
      <diagonal/>
    </border>
    <border>
      <left style="thin">
        <color indexed="64"/>
      </left>
      <right style="thin">
        <color indexed="64"/>
      </right>
      <top/>
      <bottom style="medium">
        <color indexed="17"/>
      </bottom>
      <diagonal/>
    </border>
    <border>
      <left style="medium">
        <color indexed="64"/>
      </left>
      <right/>
      <top style="hair">
        <color indexed="64"/>
      </top>
      <bottom style="hair">
        <color indexed="64"/>
      </bottom>
      <diagonal/>
    </border>
    <border>
      <left/>
      <right/>
      <top style="medium">
        <color indexed="17"/>
      </top>
      <bottom style="hair">
        <color indexed="64"/>
      </bottom>
      <diagonal/>
    </border>
    <border>
      <left/>
      <right style="medium">
        <color indexed="57"/>
      </right>
      <top/>
      <bottom style="medium">
        <color indexed="17"/>
      </bottom>
      <diagonal/>
    </border>
    <border>
      <left style="medium">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style="medium">
        <color indexed="17"/>
      </right>
      <top style="thin">
        <color indexed="64"/>
      </top>
      <bottom/>
      <diagonal/>
    </border>
    <border>
      <left/>
      <right style="medium">
        <color indexed="17"/>
      </right>
      <top/>
      <bottom style="thin">
        <color indexed="64"/>
      </bottom>
      <diagonal/>
    </border>
    <border>
      <left style="thin">
        <color indexed="64"/>
      </left>
      <right style="medium">
        <color indexed="17"/>
      </right>
      <top style="thin">
        <color indexed="64"/>
      </top>
      <bottom/>
      <diagonal/>
    </border>
    <border>
      <left style="thin">
        <color indexed="64"/>
      </left>
      <right style="medium">
        <color indexed="17"/>
      </right>
      <top/>
      <bottom style="thin">
        <color indexed="64"/>
      </bottom>
      <diagonal/>
    </border>
    <border>
      <left style="thin">
        <color indexed="64"/>
      </left>
      <right style="medium">
        <color indexed="17"/>
      </right>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style="medium">
        <color indexed="23"/>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thin">
        <color indexed="64"/>
      </bottom>
      <diagonal/>
    </border>
    <border>
      <left style="dotted">
        <color indexed="64"/>
      </left>
      <right/>
      <top style="dotted">
        <color indexed="64"/>
      </top>
      <bottom style="dotted">
        <color indexed="64"/>
      </bottom>
      <diagonal/>
    </border>
    <border>
      <left/>
      <right style="medium">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bottom/>
      <diagonal/>
    </border>
    <border>
      <left style="medium">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ashed">
        <color auto="1"/>
      </top>
      <bottom style="dotted">
        <color auto="1"/>
      </bottom>
      <diagonal/>
    </border>
    <border>
      <left/>
      <right/>
      <top style="dashed">
        <color auto="1"/>
      </top>
      <bottom style="dotted">
        <color auto="1"/>
      </bottom>
      <diagonal/>
    </border>
    <border>
      <left/>
      <right style="dotted">
        <color indexed="64"/>
      </right>
      <top style="dotted">
        <color auto="1"/>
      </top>
      <bottom style="dotted">
        <color auto="1"/>
      </bottom>
      <diagonal/>
    </border>
    <border>
      <left style="medium">
        <color indexed="64"/>
      </left>
      <right/>
      <top style="dotted">
        <color auto="1"/>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diagonal/>
    </border>
    <border>
      <left style="dotted">
        <color indexed="64"/>
      </left>
      <right style="dotted">
        <color indexed="64"/>
      </right>
      <top style="dotted">
        <color indexed="64"/>
      </top>
      <bottom/>
      <diagonal/>
    </border>
    <border>
      <left style="thin">
        <color indexed="64"/>
      </left>
      <right style="dotted">
        <color indexed="64"/>
      </right>
      <top/>
      <bottom/>
      <diagonal/>
    </border>
    <border>
      <left style="dotted">
        <color indexed="64"/>
      </left>
      <right style="dotted">
        <color indexed="64"/>
      </right>
      <top/>
      <bottom style="dotted">
        <color indexed="64"/>
      </bottom>
      <diagonal/>
    </border>
    <border>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style="dotted">
        <color indexed="64"/>
      </left>
      <right style="medium">
        <color indexed="64"/>
      </right>
      <top style="medium">
        <color indexed="64"/>
      </top>
      <bottom style="medium">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dotted">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medium">
        <color indexed="64"/>
      </top>
      <bottom style="dotted">
        <color auto="1"/>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dotted">
        <color indexed="64"/>
      </right>
      <top/>
      <bottom style="dotted">
        <color auto="1"/>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auto="1"/>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auto="1"/>
      </left>
      <right style="hair">
        <color auto="1"/>
      </right>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double">
        <color indexed="64"/>
      </left>
      <right style="hair">
        <color indexed="64"/>
      </right>
      <top style="thin">
        <color indexed="64"/>
      </top>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dashed">
        <color indexed="64"/>
      </top>
      <bottom style="thin">
        <color indexed="64"/>
      </bottom>
      <diagonal/>
    </border>
    <border>
      <left style="medium">
        <color indexed="64"/>
      </left>
      <right/>
      <top/>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medium">
        <color indexed="17"/>
      </left>
      <right style="medium">
        <color indexed="17"/>
      </right>
      <top/>
      <bottom/>
      <diagonal/>
    </border>
  </borders>
  <cellStyleXfs count="55">
    <xf numFmtId="0" fontId="0" fillId="0" borderId="0">
      <alignment vertical="center"/>
    </xf>
    <xf numFmtId="0" fontId="22" fillId="2" borderId="0" applyNumberFormat="0" applyBorder="0" applyAlignment="0" applyProtection="0">
      <alignment vertical="center"/>
    </xf>
    <xf numFmtId="0" fontId="22" fillId="3"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124" fillId="12" borderId="0" applyNumberFormat="0" applyBorder="0" applyAlignment="0" applyProtection="0">
      <alignment vertical="center"/>
    </xf>
    <xf numFmtId="0" fontId="124" fillId="9" borderId="0" applyNumberFormat="0" applyBorder="0" applyAlignment="0" applyProtection="0">
      <alignment vertical="center"/>
    </xf>
    <xf numFmtId="0" fontId="124" fillId="10" borderId="0" applyNumberFormat="0" applyBorder="0" applyAlignment="0" applyProtection="0">
      <alignment vertical="center"/>
    </xf>
    <xf numFmtId="0" fontId="124" fillId="13" borderId="0" applyNumberFormat="0" applyBorder="0" applyAlignment="0" applyProtection="0">
      <alignment vertical="center"/>
    </xf>
    <xf numFmtId="0" fontId="124" fillId="14" borderId="0" applyNumberFormat="0" applyBorder="0" applyAlignment="0" applyProtection="0">
      <alignment vertical="center"/>
    </xf>
    <xf numFmtId="0" fontId="124" fillId="15" borderId="0" applyNumberFormat="0" applyBorder="0" applyAlignment="0" applyProtection="0">
      <alignment vertical="center"/>
    </xf>
    <xf numFmtId="0" fontId="124" fillId="16" borderId="0" applyNumberFormat="0" applyBorder="0" applyAlignment="0" applyProtection="0">
      <alignment vertical="center"/>
    </xf>
    <xf numFmtId="0" fontId="124" fillId="17" borderId="0" applyNumberFormat="0" applyBorder="0" applyAlignment="0" applyProtection="0">
      <alignment vertical="center"/>
    </xf>
    <xf numFmtId="0" fontId="124" fillId="18" borderId="0" applyNumberFormat="0" applyBorder="0" applyAlignment="0" applyProtection="0">
      <alignment vertical="center"/>
    </xf>
    <xf numFmtId="0" fontId="124" fillId="13" borderId="0" applyNumberFormat="0" applyBorder="0" applyAlignment="0" applyProtection="0">
      <alignment vertical="center"/>
    </xf>
    <xf numFmtId="0" fontId="124" fillId="14" borderId="0" applyNumberFormat="0" applyBorder="0" applyAlignment="0" applyProtection="0">
      <alignment vertical="center"/>
    </xf>
    <xf numFmtId="0" fontId="124" fillId="19" borderId="0" applyNumberFormat="0" applyBorder="0" applyAlignment="0" applyProtection="0">
      <alignment vertical="center"/>
    </xf>
    <xf numFmtId="0" fontId="130" fillId="0" borderId="0" applyNumberFormat="0" applyFill="0" applyBorder="0" applyAlignment="0" applyProtection="0">
      <alignment vertical="center"/>
    </xf>
    <xf numFmtId="0" fontId="115" fillId="20" borderId="1" applyNumberFormat="0" applyAlignment="0" applyProtection="0">
      <alignment vertical="center"/>
    </xf>
    <xf numFmtId="0" fontId="131" fillId="21" borderId="0" applyNumberFormat="0" applyBorder="0" applyAlignment="0" applyProtection="0">
      <alignment vertical="center"/>
    </xf>
    <xf numFmtId="9" fontId="2" fillId="0" borderId="0" applyFont="0" applyFill="0" applyBorder="0" applyAlignment="0" applyProtection="0">
      <alignment vertical="center"/>
    </xf>
    <xf numFmtId="0" fontId="70"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32" fillId="0" borderId="3" applyNumberFormat="0" applyFill="0" applyAlignment="0" applyProtection="0">
      <alignment vertical="center"/>
    </xf>
    <xf numFmtId="0" fontId="133" fillId="3" borderId="0" applyNumberFormat="0" applyBorder="0" applyAlignment="0" applyProtection="0">
      <alignment vertical="center"/>
    </xf>
    <xf numFmtId="0" fontId="134"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135" fillId="0" borderId="5" applyNumberFormat="0" applyFill="0" applyAlignment="0" applyProtection="0">
      <alignment vertical="center"/>
    </xf>
    <xf numFmtId="0" fontId="136" fillId="0" borderId="6" applyNumberFormat="0" applyFill="0" applyAlignment="0" applyProtection="0">
      <alignment vertical="center"/>
    </xf>
    <xf numFmtId="0" fontId="137" fillId="0" borderId="7" applyNumberFormat="0" applyFill="0" applyAlignment="0" applyProtection="0">
      <alignment vertical="center"/>
    </xf>
    <xf numFmtId="0" fontId="137" fillId="0" borderId="0" applyNumberFormat="0" applyFill="0" applyBorder="0" applyAlignment="0" applyProtection="0">
      <alignment vertical="center"/>
    </xf>
    <xf numFmtId="0" fontId="62" fillId="0" borderId="8" applyNumberFormat="0" applyFill="0" applyAlignment="0" applyProtection="0">
      <alignment vertical="center"/>
    </xf>
    <xf numFmtId="0" fontId="138" fillId="23" borderId="9" applyNumberFormat="0" applyAlignment="0" applyProtection="0">
      <alignment vertical="center"/>
    </xf>
    <xf numFmtId="0" fontId="139" fillId="0" borderId="0" applyNumberFormat="0" applyFill="0" applyBorder="0" applyAlignment="0" applyProtection="0">
      <alignment vertical="center"/>
    </xf>
    <xf numFmtId="0" fontId="140" fillId="7" borderId="4" applyNumberFormat="0" applyAlignment="0" applyProtection="0">
      <alignment vertical="center"/>
    </xf>
    <xf numFmtId="0" fontId="2" fillId="0" borderId="0"/>
    <xf numFmtId="0" fontId="36" fillId="0" borderId="0"/>
    <xf numFmtId="0" fontId="141" fillId="4" borderId="0" applyNumberFormat="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204" fillId="0" borderId="0">
      <alignment vertical="center"/>
    </xf>
    <xf numFmtId="38" fontId="204" fillId="0" borderId="0" applyFont="0" applyFill="0" applyBorder="0" applyAlignment="0" applyProtection="0">
      <alignment vertical="center"/>
    </xf>
    <xf numFmtId="9" fontId="204" fillId="0" borderId="0" applyFont="0" applyFill="0" applyBorder="0" applyAlignment="0" applyProtection="0">
      <alignment vertical="center"/>
    </xf>
  </cellStyleXfs>
  <cellXfs count="3241">
    <xf numFmtId="0" fontId="0" fillId="0" borderId="0" xfId="0">
      <alignment vertical="center"/>
    </xf>
    <xf numFmtId="0" fontId="13" fillId="24" borderId="10" xfId="0" applyFont="1" applyFill="1" applyBorder="1" applyAlignment="1" applyProtection="1">
      <alignment horizontal="right" vertical="center"/>
      <protection locked="0"/>
    </xf>
    <xf numFmtId="0" fontId="3" fillId="24" borderId="0" xfId="0" applyFont="1" applyFill="1">
      <alignment vertical="center"/>
    </xf>
    <xf numFmtId="0" fontId="67" fillId="24" borderId="0" xfId="0" applyFont="1" applyFill="1">
      <alignment vertical="center"/>
    </xf>
    <xf numFmtId="0" fontId="3" fillId="0" borderId="0" xfId="0" applyFont="1">
      <alignment vertical="center"/>
    </xf>
    <xf numFmtId="0" fontId="3" fillId="24" borderId="11" xfId="0" applyFont="1" applyFill="1" applyBorder="1">
      <alignment vertical="center"/>
    </xf>
    <xf numFmtId="0" fontId="0" fillId="25" borderId="0" xfId="0" applyFill="1">
      <alignment vertical="center"/>
    </xf>
    <xf numFmtId="0" fontId="0" fillId="24" borderId="0" xfId="0" applyFill="1">
      <alignment vertical="center"/>
    </xf>
    <xf numFmtId="0" fontId="13" fillId="0" borderId="0" xfId="0" applyFont="1">
      <alignment vertical="center"/>
    </xf>
    <xf numFmtId="0" fontId="13" fillId="25" borderId="10" xfId="0" applyFont="1" applyFill="1" applyBorder="1">
      <alignment vertical="center"/>
    </xf>
    <xf numFmtId="0" fontId="13" fillId="25" borderId="0" xfId="0" applyFont="1" applyFill="1">
      <alignment vertical="center"/>
    </xf>
    <xf numFmtId="0" fontId="0" fillId="25" borderId="0" xfId="0" applyFill="1" applyAlignment="1"/>
    <xf numFmtId="0" fontId="0" fillId="0" borderId="0" xfId="0" applyAlignment="1"/>
    <xf numFmtId="0" fontId="38" fillId="24" borderId="0" xfId="0" applyFont="1" applyFill="1">
      <alignment vertical="center"/>
    </xf>
    <xf numFmtId="0" fontId="33" fillId="24" borderId="0" xfId="0" applyFont="1" applyFill="1">
      <alignment vertical="center"/>
    </xf>
    <xf numFmtId="0" fontId="38" fillId="0" borderId="0" xfId="0" applyFont="1">
      <alignment vertical="center"/>
    </xf>
    <xf numFmtId="0" fontId="6" fillId="25" borderId="0" xfId="0" applyFont="1" applyFill="1">
      <alignment vertical="center"/>
    </xf>
    <xf numFmtId="31" fontId="13" fillId="24" borderId="10" xfId="0" applyNumberFormat="1" applyFont="1" applyFill="1" applyBorder="1" applyAlignment="1" applyProtection="1">
      <alignment horizontal="right" vertical="center"/>
      <protection locked="0"/>
    </xf>
    <xf numFmtId="181" fontId="13" fillId="24" borderId="10" xfId="0" applyNumberFormat="1" applyFont="1" applyFill="1" applyBorder="1" applyAlignment="1" applyProtection="1">
      <alignment horizontal="right" vertical="center"/>
      <protection locked="0"/>
    </xf>
    <xf numFmtId="0" fontId="3" fillId="24" borderId="0" xfId="0" applyFont="1" applyFill="1" applyProtection="1">
      <alignment vertical="center"/>
      <protection hidden="1"/>
    </xf>
    <xf numFmtId="0" fontId="68" fillId="24" borderId="0" xfId="0" applyFont="1" applyFill="1" applyProtection="1">
      <alignment vertical="center"/>
      <protection hidden="1"/>
    </xf>
    <xf numFmtId="0" fontId="3" fillId="24" borderId="0" xfId="0" applyFont="1" applyFill="1" applyAlignment="1" applyProtection="1">
      <alignment horizontal="left" vertical="center"/>
      <protection hidden="1"/>
    </xf>
    <xf numFmtId="0" fontId="38" fillId="24" borderId="0" xfId="0" applyFont="1" applyFill="1" applyProtection="1">
      <alignment vertical="center"/>
      <protection hidden="1"/>
    </xf>
    <xf numFmtId="0" fontId="33" fillId="24" borderId="0" xfId="0" applyFont="1" applyFill="1" applyProtection="1">
      <alignment vertical="center"/>
      <protection hidden="1"/>
    </xf>
    <xf numFmtId="0" fontId="33" fillId="24" borderId="0" xfId="0" applyFont="1" applyFill="1" applyAlignment="1" applyProtection="1">
      <alignment horizontal="left" vertical="center"/>
      <protection hidden="1"/>
    </xf>
    <xf numFmtId="179" fontId="10" fillId="25" borderId="12" xfId="0" applyNumberFormat="1" applyFont="1" applyFill="1" applyBorder="1" applyAlignment="1" applyProtection="1">
      <alignment horizontal="center" vertical="center"/>
      <protection hidden="1"/>
    </xf>
    <xf numFmtId="179" fontId="10" fillId="25" borderId="13" xfId="0" applyNumberFormat="1" applyFont="1" applyFill="1" applyBorder="1" applyAlignment="1" applyProtection="1">
      <alignment horizontal="center" vertical="center"/>
      <protection hidden="1"/>
    </xf>
    <xf numFmtId="179" fontId="3" fillId="24" borderId="0" xfId="0" applyNumberFormat="1" applyFont="1" applyFill="1" applyAlignment="1" applyProtection="1">
      <alignment horizontal="center" vertical="center"/>
      <protection hidden="1"/>
    </xf>
    <xf numFmtId="179" fontId="10" fillId="25" borderId="14" xfId="0" applyNumberFormat="1" applyFont="1" applyFill="1" applyBorder="1" applyAlignment="1" applyProtection="1">
      <alignment horizontal="center" vertical="center"/>
      <protection hidden="1"/>
    </xf>
    <xf numFmtId="0" fontId="3" fillId="0" borderId="0" xfId="0" applyFont="1" applyProtection="1">
      <alignment vertical="center"/>
      <protection hidden="1"/>
    </xf>
    <xf numFmtId="179" fontId="3" fillId="24" borderId="0" xfId="0" applyNumberFormat="1" applyFont="1" applyFill="1" applyProtection="1">
      <alignment vertical="center"/>
      <protection hidden="1"/>
    </xf>
    <xf numFmtId="179" fontId="10" fillId="25" borderId="15" xfId="0" applyNumberFormat="1" applyFont="1" applyFill="1" applyBorder="1" applyAlignment="1" applyProtection="1">
      <alignment horizontal="center" vertical="center"/>
      <protection hidden="1"/>
    </xf>
    <xf numFmtId="0" fontId="3" fillId="24" borderId="0" xfId="0" applyFont="1" applyFill="1" applyAlignment="1" applyProtection="1">
      <alignment horizontal="left" vertical="top"/>
      <protection hidden="1"/>
    </xf>
    <xf numFmtId="0" fontId="61" fillId="24" borderId="0" xfId="0" applyFont="1" applyFill="1" applyProtection="1">
      <alignment vertical="center"/>
      <protection hidden="1"/>
    </xf>
    <xf numFmtId="0" fontId="68" fillId="24" borderId="0" xfId="0" applyFont="1" applyFill="1" applyAlignment="1" applyProtection="1">
      <alignment horizontal="left" vertical="top"/>
      <protection hidden="1"/>
    </xf>
    <xf numFmtId="0" fontId="68" fillId="0" borderId="0" xfId="0" applyFont="1" applyProtection="1">
      <alignment vertical="center"/>
      <protection hidden="1"/>
    </xf>
    <xf numFmtId="0" fontId="38" fillId="24" borderId="0" xfId="0" applyFont="1" applyFill="1" applyAlignment="1" applyProtection="1">
      <alignment horizontal="left" vertical="top"/>
      <protection hidden="1"/>
    </xf>
    <xf numFmtId="179" fontId="3" fillId="24" borderId="16" xfId="0" applyNumberFormat="1" applyFont="1" applyFill="1" applyBorder="1" applyAlignment="1" applyProtection="1">
      <alignment horizontal="center" vertical="center"/>
      <protection hidden="1"/>
    </xf>
    <xf numFmtId="2" fontId="3" fillId="26" borderId="17" xfId="0" applyNumberFormat="1" applyFont="1" applyFill="1" applyBorder="1" applyAlignment="1" applyProtection="1">
      <alignment horizontal="left" vertical="center"/>
      <protection hidden="1"/>
    </xf>
    <xf numFmtId="179" fontId="3" fillId="25" borderId="18" xfId="0" applyNumberFormat="1" applyFont="1" applyFill="1" applyBorder="1" applyAlignment="1" applyProtection="1">
      <alignment horizontal="left" vertical="center"/>
      <protection hidden="1"/>
    </xf>
    <xf numFmtId="0" fontId="2" fillId="24" borderId="0" xfId="0" applyFont="1" applyFill="1" applyProtection="1">
      <alignment vertical="center"/>
      <protection hidden="1"/>
    </xf>
    <xf numFmtId="0" fontId="7" fillId="24" borderId="0" xfId="0" applyFont="1" applyFill="1" applyProtection="1">
      <alignment vertical="center"/>
      <protection hidden="1"/>
    </xf>
    <xf numFmtId="0" fontId="3" fillId="25" borderId="0" xfId="0" applyFont="1" applyFill="1" applyAlignment="1" applyProtection="1">
      <alignment horizontal="left" vertical="center"/>
      <protection hidden="1"/>
    </xf>
    <xf numFmtId="0" fontId="0" fillId="25" borderId="0" xfId="0" applyFill="1" applyProtection="1">
      <alignment vertical="center"/>
      <protection hidden="1"/>
    </xf>
    <xf numFmtId="0" fontId="0" fillId="24" borderId="0" xfId="0" applyFill="1" applyProtection="1">
      <alignment vertical="center"/>
      <protection hidden="1"/>
    </xf>
    <xf numFmtId="0" fontId="35" fillId="24" borderId="0" xfId="45" applyFont="1" applyFill="1" applyProtection="1">
      <protection hidden="1"/>
    </xf>
    <xf numFmtId="0" fontId="44" fillId="24" borderId="19" xfId="0" applyFont="1" applyFill="1" applyBorder="1" applyProtection="1">
      <alignment vertical="center"/>
      <protection hidden="1"/>
    </xf>
    <xf numFmtId="0" fontId="43" fillId="24" borderId="0" xfId="0" applyFont="1" applyFill="1" applyAlignment="1" applyProtection="1">
      <alignment horizontal="left" vertical="center"/>
      <protection hidden="1"/>
    </xf>
    <xf numFmtId="0" fontId="43" fillId="24" borderId="0" xfId="0" applyFont="1" applyFill="1" applyAlignment="1" applyProtection="1">
      <alignment horizontal="right" vertical="center"/>
      <protection hidden="1"/>
    </xf>
    <xf numFmtId="0" fontId="43" fillId="24" borderId="0" xfId="0" applyFont="1" applyFill="1" applyProtection="1">
      <alignment vertical="center"/>
      <protection hidden="1"/>
    </xf>
    <xf numFmtId="0" fontId="44" fillId="24" borderId="0" xfId="0" applyFont="1" applyFill="1" applyProtection="1">
      <alignment vertical="center"/>
      <protection hidden="1"/>
    </xf>
    <xf numFmtId="0" fontId="44" fillId="24" borderId="0" xfId="0" applyFont="1" applyFill="1" applyAlignment="1" applyProtection="1">
      <alignment horizontal="center" vertical="center"/>
      <protection hidden="1"/>
    </xf>
    <xf numFmtId="0" fontId="18" fillId="24" borderId="0" xfId="0" applyFont="1" applyFill="1" applyProtection="1">
      <alignment vertical="center"/>
      <protection hidden="1"/>
    </xf>
    <xf numFmtId="0" fontId="18" fillId="24" borderId="0" xfId="0" applyFont="1" applyFill="1" applyAlignment="1" applyProtection="1">
      <alignment horizontal="right" vertical="center"/>
      <protection hidden="1"/>
    </xf>
    <xf numFmtId="0" fontId="47" fillId="24" borderId="0" xfId="0" applyFont="1" applyFill="1" applyProtection="1">
      <alignment vertical="center"/>
      <protection hidden="1"/>
    </xf>
    <xf numFmtId="0" fontId="54" fillId="27" borderId="0" xfId="0" applyFont="1" applyFill="1" applyAlignment="1" applyProtection="1">
      <alignment horizontal="right" vertical="center"/>
      <protection hidden="1"/>
    </xf>
    <xf numFmtId="0" fontId="51" fillId="27" borderId="0" xfId="0" applyFont="1" applyFill="1" applyProtection="1">
      <alignment vertical="center"/>
      <protection hidden="1"/>
    </xf>
    <xf numFmtId="0" fontId="55" fillId="24" borderId="0" xfId="0" applyFont="1" applyFill="1" applyProtection="1">
      <alignment vertical="center"/>
      <protection hidden="1"/>
    </xf>
    <xf numFmtId="182" fontId="55" fillId="24" borderId="0" xfId="0" applyNumberFormat="1" applyFont="1" applyFill="1" applyAlignment="1" applyProtection="1">
      <alignment horizontal="left" vertical="center"/>
      <protection hidden="1"/>
    </xf>
    <xf numFmtId="0" fontId="37" fillId="24" borderId="0" xfId="0" applyFont="1" applyFill="1" applyProtection="1">
      <alignment vertical="center"/>
      <protection hidden="1"/>
    </xf>
    <xf numFmtId="0" fontId="55" fillId="24" borderId="0" xfId="0" applyFont="1" applyFill="1" applyAlignment="1" applyProtection="1">
      <alignment horizontal="left" vertical="center"/>
      <protection hidden="1"/>
    </xf>
    <xf numFmtId="0" fontId="37" fillId="24" borderId="20" xfId="0" applyFont="1" applyFill="1" applyBorder="1" applyProtection="1">
      <alignment vertical="center"/>
      <protection hidden="1"/>
    </xf>
    <xf numFmtId="0" fontId="56" fillId="24" borderId="0" xfId="0" applyFont="1" applyFill="1" applyProtection="1">
      <alignment vertical="center"/>
      <protection hidden="1"/>
    </xf>
    <xf numFmtId="0" fontId="57" fillId="24" borderId="0" xfId="0" applyFont="1" applyFill="1" applyAlignment="1" applyProtection="1">
      <alignment horizontal="left" vertical="center"/>
      <protection hidden="1"/>
    </xf>
    <xf numFmtId="0" fontId="58" fillId="24" borderId="0" xfId="0" applyFont="1" applyFill="1" applyAlignment="1" applyProtection="1">
      <alignment horizontal="right" vertical="center"/>
      <protection hidden="1"/>
    </xf>
    <xf numFmtId="0" fontId="59" fillId="24" borderId="0" xfId="0" applyFont="1" applyFill="1" applyAlignment="1" applyProtection="1">
      <alignment horizontal="right" vertical="center"/>
      <protection hidden="1"/>
    </xf>
    <xf numFmtId="0" fontId="60" fillId="24" borderId="0" xfId="0" applyFont="1" applyFill="1" applyProtection="1">
      <alignment vertical="center"/>
      <protection hidden="1"/>
    </xf>
    <xf numFmtId="182" fontId="19" fillId="24" borderId="0" xfId="0" applyNumberFormat="1" applyFont="1" applyFill="1" applyAlignment="1" applyProtection="1">
      <alignment horizontal="left" vertical="center"/>
      <protection hidden="1"/>
    </xf>
    <xf numFmtId="0" fontId="44" fillId="24" borderId="21" xfId="0" applyFont="1" applyFill="1" applyBorder="1" applyAlignment="1" applyProtection="1">
      <alignment horizontal="center" vertical="center"/>
      <protection hidden="1"/>
    </xf>
    <xf numFmtId="0" fontId="44" fillId="24" borderId="21" xfId="0" applyFont="1" applyFill="1" applyBorder="1" applyProtection="1">
      <alignment vertical="center"/>
      <protection hidden="1"/>
    </xf>
    <xf numFmtId="0" fontId="37" fillId="24" borderId="21" xfId="0" applyFont="1" applyFill="1" applyBorder="1" applyProtection="1">
      <alignment vertical="center"/>
      <protection hidden="1"/>
    </xf>
    <xf numFmtId="0" fontId="37" fillId="24" borderId="22" xfId="0" applyFont="1" applyFill="1" applyBorder="1" applyProtection="1">
      <alignment vertical="center"/>
      <protection hidden="1"/>
    </xf>
    <xf numFmtId="0" fontId="47" fillId="24" borderId="23" xfId="0" applyFont="1" applyFill="1" applyBorder="1" applyProtection="1">
      <alignment vertical="center"/>
      <protection hidden="1"/>
    </xf>
    <xf numFmtId="1" fontId="18" fillId="24" borderId="0" xfId="0" applyNumberFormat="1" applyFont="1" applyFill="1" applyProtection="1">
      <alignment vertical="center"/>
      <protection hidden="1"/>
    </xf>
    <xf numFmtId="0" fontId="47" fillId="24" borderId="20" xfId="0" applyFont="1" applyFill="1" applyBorder="1" applyProtection="1">
      <alignment vertical="center"/>
      <protection hidden="1"/>
    </xf>
    <xf numFmtId="0" fontId="47" fillId="24" borderId="0" xfId="0" applyFont="1" applyFill="1" applyAlignment="1" applyProtection="1">
      <alignment horizontal="right" vertical="center"/>
      <protection hidden="1"/>
    </xf>
    <xf numFmtId="0" fontId="19" fillId="24" borderId="0" xfId="0" applyFont="1" applyFill="1" applyAlignment="1" applyProtection="1">
      <alignment horizontal="left" vertical="center"/>
      <protection hidden="1"/>
    </xf>
    <xf numFmtId="0" fontId="18" fillId="24" borderId="23" xfId="0" applyFont="1" applyFill="1" applyBorder="1" applyProtection="1">
      <alignment vertical="center"/>
      <protection hidden="1"/>
    </xf>
    <xf numFmtId="0" fontId="18" fillId="24" borderId="24" xfId="0" applyFont="1" applyFill="1" applyBorder="1" applyProtection="1">
      <alignment vertical="center"/>
      <protection hidden="1"/>
    </xf>
    <xf numFmtId="0" fontId="18" fillId="24" borderId="19" xfId="0" applyFont="1" applyFill="1" applyBorder="1" applyProtection="1">
      <alignment vertical="center"/>
      <protection hidden="1"/>
    </xf>
    <xf numFmtId="0" fontId="18" fillId="24" borderId="19" xfId="0" applyFont="1" applyFill="1" applyBorder="1" applyAlignment="1" applyProtection="1">
      <alignment horizontal="right" vertical="center"/>
      <protection hidden="1"/>
    </xf>
    <xf numFmtId="0" fontId="19" fillId="24" borderId="19" xfId="0" applyFont="1" applyFill="1" applyBorder="1" applyAlignment="1" applyProtection="1">
      <alignment horizontal="left" vertical="center"/>
      <protection hidden="1"/>
    </xf>
    <xf numFmtId="0" fontId="37" fillId="24" borderId="19" xfId="0" applyFont="1" applyFill="1" applyBorder="1" applyProtection="1">
      <alignment vertical="center"/>
      <protection hidden="1"/>
    </xf>
    <xf numFmtId="0" fontId="47" fillId="24" borderId="19" xfId="0" applyFont="1" applyFill="1" applyBorder="1" applyProtection="1">
      <alignment vertical="center"/>
      <protection hidden="1"/>
    </xf>
    <xf numFmtId="0" fontId="47" fillId="24" borderId="25" xfId="0" applyFont="1" applyFill="1" applyBorder="1" applyProtection="1">
      <alignment vertical="center"/>
      <protection hidden="1"/>
    </xf>
    <xf numFmtId="0" fontId="66" fillId="24" borderId="0" xfId="0" applyFont="1" applyFill="1" applyProtection="1">
      <alignment vertical="center"/>
      <protection hidden="1"/>
    </xf>
    <xf numFmtId="0" fontId="19" fillId="24" borderId="0" xfId="0" applyFont="1" applyFill="1" applyAlignment="1" applyProtection="1">
      <alignment horizontal="right" vertical="center"/>
      <protection hidden="1"/>
    </xf>
    <xf numFmtId="0" fontId="29" fillId="28" borderId="26" xfId="0" applyFont="1" applyFill="1" applyBorder="1" applyAlignment="1" applyProtection="1">
      <alignment horizontal="left" vertical="center"/>
      <protection hidden="1"/>
    </xf>
    <xf numFmtId="0" fontId="17" fillId="29" borderId="27" xfId="0" applyFont="1" applyFill="1" applyBorder="1" applyProtection="1">
      <alignment vertical="center"/>
      <protection hidden="1"/>
    </xf>
    <xf numFmtId="0" fontId="15" fillId="29" borderId="28" xfId="0" applyFont="1" applyFill="1" applyBorder="1" applyProtection="1">
      <alignment vertical="center"/>
      <protection hidden="1"/>
    </xf>
    <xf numFmtId="0" fontId="15" fillId="29" borderId="29" xfId="0" applyFont="1" applyFill="1" applyBorder="1" applyProtection="1">
      <alignment vertical="center"/>
      <protection hidden="1"/>
    </xf>
    <xf numFmtId="0" fontId="15" fillId="29" borderId="31" xfId="0" applyFont="1" applyFill="1" applyBorder="1" applyProtection="1">
      <alignment vertical="center"/>
      <protection hidden="1"/>
    </xf>
    <xf numFmtId="3" fontId="19" fillId="25" borderId="0" xfId="0" applyNumberFormat="1" applyFont="1" applyFill="1" applyAlignment="1" applyProtection="1">
      <alignment horizontal="left" vertical="center"/>
      <protection hidden="1"/>
    </xf>
    <xf numFmtId="0" fontId="3" fillId="25" borderId="31" xfId="0" applyFont="1" applyFill="1" applyBorder="1" applyAlignment="1" applyProtection="1">
      <alignment horizontal="left" vertical="center"/>
      <protection hidden="1"/>
    </xf>
    <xf numFmtId="0" fontId="0" fillId="25" borderId="0" xfId="0" applyFill="1" applyAlignment="1" applyProtection="1">
      <alignment horizontal="left"/>
      <protection hidden="1"/>
    </xf>
    <xf numFmtId="3" fontId="18" fillId="25" borderId="0" xfId="0" applyNumberFormat="1" applyFont="1" applyFill="1" applyAlignment="1" applyProtection="1">
      <alignment horizontal="left" vertical="center"/>
      <protection hidden="1"/>
    </xf>
    <xf numFmtId="182" fontId="3" fillId="25" borderId="0" xfId="0" applyNumberFormat="1" applyFont="1" applyFill="1" applyAlignment="1" applyProtection="1">
      <alignment horizontal="left" vertical="center"/>
      <protection hidden="1"/>
    </xf>
    <xf numFmtId="0" fontId="24" fillId="25" borderId="31" xfId="0" applyFont="1" applyFill="1" applyBorder="1" applyAlignment="1" applyProtection="1">
      <alignment horizontal="left" vertical="center"/>
      <protection hidden="1"/>
    </xf>
    <xf numFmtId="2" fontId="3" fillId="25" borderId="0" xfId="0" applyNumberFormat="1" applyFont="1" applyFill="1" applyAlignment="1" applyProtection="1">
      <alignment horizontal="left" vertical="center"/>
      <protection hidden="1"/>
    </xf>
    <xf numFmtId="3" fontId="25" fillId="25" borderId="0" xfId="0" applyNumberFormat="1" applyFont="1" applyFill="1" applyAlignment="1" applyProtection="1">
      <alignment horizontal="left" vertical="center"/>
      <protection hidden="1"/>
    </xf>
    <xf numFmtId="3" fontId="3" fillId="25" borderId="0" xfId="0" applyNumberFormat="1" applyFont="1" applyFill="1" applyAlignment="1" applyProtection="1">
      <alignment horizontal="left" vertical="center"/>
      <protection hidden="1"/>
    </xf>
    <xf numFmtId="37" fontId="3" fillId="25" borderId="0" xfId="0" applyNumberFormat="1" applyFont="1" applyFill="1" applyAlignment="1" applyProtection="1">
      <alignment horizontal="left" vertical="center"/>
      <protection hidden="1"/>
    </xf>
    <xf numFmtId="0" fontId="17" fillId="29" borderId="33" xfId="0" applyFont="1" applyFill="1" applyBorder="1" applyProtection="1">
      <alignment vertical="center"/>
      <protection hidden="1"/>
    </xf>
    <xf numFmtId="0" fontId="13" fillId="25" borderId="0" xfId="0" applyFont="1" applyFill="1" applyProtection="1">
      <alignment vertical="center"/>
      <protection hidden="1"/>
    </xf>
    <xf numFmtId="0" fontId="17" fillId="29" borderId="34" xfId="0" applyFont="1" applyFill="1" applyBorder="1" applyProtection="1">
      <alignment vertical="center"/>
      <protection hidden="1"/>
    </xf>
    <xf numFmtId="0" fontId="15" fillId="29" borderId="35" xfId="0" applyFont="1" applyFill="1" applyBorder="1" applyProtection="1">
      <alignment vertical="center"/>
      <protection hidden="1"/>
    </xf>
    <xf numFmtId="0" fontId="15" fillId="29" borderId="36" xfId="0" applyFont="1" applyFill="1" applyBorder="1" applyProtection="1">
      <alignment vertical="center"/>
      <protection hidden="1"/>
    </xf>
    <xf numFmtId="0" fontId="0" fillId="25" borderId="0" xfId="0" applyFill="1" applyAlignment="1" applyProtection="1">
      <protection hidden="1"/>
    </xf>
    <xf numFmtId="0" fontId="7" fillId="25" borderId="30" xfId="0" applyFont="1" applyFill="1" applyBorder="1" applyProtection="1">
      <alignment vertical="center"/>
      <protection hidden="1"/>
    </xf>
    <xf numFmtId="0" fontId="0" fillId="25" borderId="31" xfId="0" applyFill="1" applyBorder="1" applyAlignment="1" applyProtection="1">
      <protection hidden="1"/>
    </xf>
    <xf numFmtId="0" fontId="0" fillId="25" borderId="37" xfId="0" applyFill="1" applyBorder="1" applyAlignment="1" applyProtection="1">
      <protection hidden="1"/>
    </xf>
    <xf numFmtId="2" fontId="76" fillId="0" borderId="0" xfId="0" applyNumberFormat="1" applyFont="1" applyAlignment="1" applyProtection="1">
      <alignment horizontal="center" vertical="center" wrapText="1"/>
      <protection hidden="1"/>
    </xf>
    <xf numFmtId="0" fontId="74" fillId="24" borderId="0" xfId="0" applyFont="1" applyFill="1" applyAlignment="1" applyProtection="1">
      <alignment horizontal="left" vertical="center"/>
      <protection hidden="1"/>
    </xf>
    <xf numFmtId="0" fontId="75" fillId="0" borderId="0" xfId="0" applyFont="1" applyProtection="1">
      <alignment vertical="center"/>
      <protection hidden="1"/>
    </xf>
    <xf numFmtId="0" fontId="19" fillId="0" borderId="0" xfId="0" applyFont="1">
      <alignment vertical="center"/>
    </xf>
    <xf numFmtId="0" fontId="19" fillId="0" borderId="0" xfId="0" applyFont="1" applyAlignment="1">
      <alignment horizontal="left" vertical="center"/>
    </xf>
    <xf numFmtId="179" fontId="3" fillId="26" borderId="38" xfId="0" applyNumberFormat="1" applyFont="1" applyFill="1" applyBorder="1" applyAlignment="1" applyProtection="1">
      <alignment horizontal="centerContinuous" vertical="top"/>
      <protection hidden="1"/>
    </xf>
    <xf numFmtId="179" fontId="3" fillId="26" borderId="39" xfId="0" applyNumberFormat="1" applyFont="1" applyFill="1" applyBorder="1" applyAlignment="1" applyProtection="1">
      <alignment horizontal="centerContinuous" vertical="top"/>
      <protection hidden="1"/>
    </xf>
    <xf numFmtId="0" fontId="3" fillId="25" borderId="21" xfId="0" applyFont="1" applyFill="1" applyBorder="1" applyAlignment="1" applyProtection="1">
      <alignment horizontal="center" vertical="center"/>
      <protection hidden="1"/>
    </xf>
    <xf numFmtId="0" fontId="3" fillId="25" borderId="40" xfId="0" applyFont="1" applyFill="1" applyBorder="1" applyAlignment="1" applyProtection="1">
      <alignment horizontal="center" vertical="center" wrapText="1"/>
      <protection hidden="1"/>
    </xf>
    <xf numFmtId="179" fontId="3" fillId="26" borderId="17" xfId="0" applyNumberFormat="1" applyFont="1" applyFill="1" applyBorder="1" applyAlignment="1" applyProtection="1">
      <alignment horizontal="centerContinuous" vertical="top"/>
      <protection hidden="1"/>
    </xf>
    <xf numFmtId="178" fontId="3" fillId="0" borderId="0" xfId="0" applyNumberFormat="1" applyFont="1" applyAlignment="1" applyProtection="1">
      <alignment horizontal="center" vertical="center"/>
      <protection hidden="1"/>
    </xf>
    <xf numFmtId="178" fontId="38" fillId="0" borderId="0" xfId="0" applyNumberFormat="1" applyFont="1" applyAlignment="1" applyProtection="1">
      <alignment horizontal="center" vertical="center"/>
      <protection hidden="1"/>
    </xf>
    <xf numFmtId="178" fontId="3" fillId="0" borderId="0" xfId="0" applyNumberFormat="1" applyFont="1" applyAlignment="1" applyProtection="1">
      <alignment horizontal="center" vertical="center" wrapText="1"/>
      <protection hidden="1"/>
    </xf>
    <xf numFmtId="0" fontId="3" fillId="30" borderId="41" xfId="0" applyFont="1" applyFill="1" applyBorder="1" applyProtection="1">
      <alignment vertical="center"/>
      <protection hidden="1"/>
    </xf>
    <xf numFmtId="0" fontId="33" fillId="24" borderId="21" xfId="0" applyFont="1" applyFill="1" applyBorder="1" applyProtection="1">
      <alignment vertical="center"/>
      <protection hidden="1"/>
    </xf>
    <xf numFmtId="0" fontId="5" fillId="24" borderId="0" xfId="0" applyFont="1" applyFill="1" applyProtection="1">
      <alignment vertical="center"/>
      <protection hidden="1"/>
    </xf>
    <xf numFmtId="0" fontId="27" fillId="24" borderId="0" xfId="0" applyFont="1" applyFill="1" applyProtection="1">
      <alignment vertical="center"/>
      <protection hidden="1"/>
    </xf>
    <xf numFmtId="179" fontId="7" fillId="24" borderId="0" xfId="0" applyNumberFormat="1" applyFont="1" applyFill="1" applyAlignment="1" applyProtection="1">
      <alignment horizontal="left" vertical="top"/>
      <protection hidden="1"/>
    </xf>
    <xf numFmtId="0" fontId="10" fillId="24" borderId="0" xfId="0" applyFont="1" applyFill="1" applyProtection="1">
      <alignment vertical="center"/>
      <protection hidden="1"/>
    </xf>
    <xf numFmtId="0" fontId="7" fillId="24" borderId="0" xfId="0" applyFont="1" applyFill="1" applyAlignment="1" applyProtection="1">
      <alignment horizontal="justify"/>
      <protection hidden="1"/>
    </xf>
    <xf numFmtId="0" fontId="7" fillId="24" borderId="0" xfId="0" applyFont="1" applyFill="1" applyAlignment="1" applyProtection="1">
      <alignment horizontal="left"/>
      <protection hidden="1"/>
    </xf>
    <xf numFmtId="179" fontId="7" fillId="24" borderId="0" xfId="0" applyNumberFormat="1" applyFont="1" applyFill="1" applyAlignment="1">
      <alignment horizontal="left" vertical="top"/>
    </xf>
    <xf numFmtId="0" fontId="33" fillId="0" borderId="0" xfId="0" applyFont="1" applyAlignment="1">
      <alignment horizontal="left" vertical="center"/>
    </xf>
    <xf numFmtId="0" fontId="33" fillId="24" borderId="0" xfId="0" applyFont="1" applyFill="1" applyAlignment="1">
      <alignment horizontal="left" vertical="center"/>
    </xf>
    <xf numFmtId="0" fontId="7" fillId="24" borderId="0" xfId="0" applyFont="1" applyFill="1" applyAlignment="1" applyProtection="1">
      <alignment horizontal="left" vertical="center"/>
      <protection hidden="1"/>
    </xf>
    <xf numFmtId="0" fontId="7" fillId="24" borderId="0" xfId="0" applyFont="1" applyFill="1" applyAlignment="1" applyProtection="1">
      <alignment horizontal="right" vertical="center"/>
      <protection hidden="1"/>
    </xf>
    <xf numFmtId="0" fontId="41" fillId="24" borderId="0" xfId="0" applyFont="1" applyFill="1" applyAlignment="1" applyProtection="1">
      <alignment horizontal="left" vertical="center"/>
      <protection hidden="1"/>
    </xf>
    <xf numFmtId="0" fontId="3" fillId="25" borderId="10" xfId="0" applyFont="1" applyFill="1" applyBorder="1" applyAlignment="1" applyProtection="1">
      <alignment horizontal="center" vertical="center"/>
      <protection hidden="1"/>
    </xf>
    <xf numFmtId="179" fontId="3" fillId="25" borderId="42" xfId="0" applyNumberFormat="1" applyFont="1" applyFill="1" applyBorder="1" applyAlignment="1" applyProtection="1">
      <alignment horizontal="left" vertical="center"/>
      <protection hidden="1"/>
    </xf>
    <xf numFmtId="179" fontId="3" fillId="25" borderId="43" xfId="0" applyNumberFormat="1" applyFont="1" applyFill="1" applyBorder="1" applyAlignment="1" applyProtection="1">
      <alignment horizontal="left" vertical="center"/>
      <protection hidden="1"/>
    </xf>
    <xf numFmtId="179" fontId="3" fillId="25" borderId="44" xfId="0" applyNumberFormat="1" applyFont="1" applyFill="1" applyBorder="1" applyAlignment="1" applyProtection="1">
      <alignment horizontal="left" vertical="center"/>
      <protection hidden="1"/>
    </xf>
    <xf numFmtId="179" fontId="3" fillId="25" borderId="45" xfId="0" applyNumberFormat="1" applyFont="1" applyFill="1" applyBorder="1" applyAlignment="1" applyProtection="1">
      <alignment horizontal="left" vertical="center"/>
      <protection hidden="1"/>
    </xf>
    <xf numFmtId="179" fontId="3" fillId="25" borderId="46" xfId="0" applyNumberFormat="1" applyFont="1" applyFill="1" applyBorder="1" applyAlignment="1" applyProtection="1">
      <alignment horizontal="left" vertical="center"/>
      <protection hidden="1"/>
    </xf>
    <xf numFmtId="179" fontId="3" fillId="25" borderId="47" xfId="0" applyNumberFormat="1" applyFont="1" applyFill="1" applyBorder="1" applyAlignment="1" applyProtection="1">
      <alignment horizontal="left" vertical="center"/>
      <protection hidden="1"/>
    </xf>
    <xf numFmtId="178" fontId="3" fillId="26" borderId="17" xfId="0" applyNumberFormat="1" applyFont="1" applyFill="1" applyBorder="1" applyAlignment="1" applyProtection="1">
      <alignment horizontal="left" vertical="center"/>
      <protection hidden="1"/>
    </xf>
    <xf numFmtId="179" fontId="3" fillId="25" borderId="44" xfId="0" applyNumberFormat="1" applyFont="1" applyFill="1" applyBorder="1" applyProtection="1">
      <alignment vertical="center"/>
      <protection hidden="1"/>
    </xf>
    <xf numFmtId="0" fontId="38" fillId="0" borderId="0" xfId="0" applyFont="1" applyProtection="1">
      <alignment vertical="center"/>
      <protection hidden="1"/>
    </xf>
    <xf numFmtId="0" fontId="7" fillId="26" borderId="48" xfId="0" applyFont="1" applyFill="1" applyBorder="1" applyAlignment="1" applyProtection="1">
      <alignment horizontal="right" vertical="center"/>
      <protection hidden="1"/>
    </xf>
    <xf numFmtId="180" fontId="7" fillId="28" borderId="49" xfId="0" applyNumberFormat="1" applyFont="1" applyFill="1" applyBorder="1" applyAlignment="1" applyProtection="1">
      <alignment horizontal="left" vertical="center"/>
      <protection hidden="1"/>
    </xf>
    <xf numFmtId="183" fontId="17" fillId="28" borderId="50" xfId="0" applyNumberFormat="1" applyFont="1" applyFill="1" applyBorder="1" applyProtection="1">
      <alignment vertical="center"/>
      <protection hidden="1"/>
    </xf>
    <xf numFmtId="180" fontId="5" fillId="25" borderId="21" xfId="0" applyNumberFormat="1" applyFont="1" applyFill="1" applyBorder="1" applyAlignment="1" applyProtection="1">
      <alignment horizontal="centerContinuous" vertical="top"/>
      <protection hidden="1"/>
    </xf>
    <xf numFmtId="180" fontId="5" fillId="25" borderId="51" xfId="0" applyNumberFormat="1" applyFont="1" applyFill="1" applyBorder="1" applyAlignment="1" applyProtection="1">
      <alignment horizontal="centerContinuous" vertical="top"/>
      <protection hidden="1"/>
    </xf>
    <xf numFmtId="183" fontId="10" fillId="25" borderId="52" xfId="0" applyNumberFormat="1" applyFont="1" applyFill="1" applyBorder="1" applyAlignment="1" applyProtection="1">
      <alignment horizontal="center" vertical="center" wrapText="1"/>
      <protection hidden="1"/>
    </xf>
    <xf numFmtId="183" fontId="8" fillId="25" borderId="53" xfId="0" applyNumberFormat="1" applyFont="1" applyFill="1" applyBorder="1" applyAlignment="1" applyProtection="1">
      <alignment horizontal="center" vertical="center" wrapText="1"/>
      <protection hidden="1"/>
    </xf>
    <xf numFmtId="183" fontId="10" fillId="25" borderId="21" xfId="0" applyNumberFormat="1" applyFont="1" applyFill="1" applyBorder="1" applyAlignment="1" applyProtection="1">
      <alignment horizontal="center" vertical="center" wrapText="1"/>
      <protection hidden="1"/>
    </xf>
    <xf numFmtId="183" fontId="8" fillId="25" borderId="54" xfId="0" applyNumberFormat="1" applyFont="1" applyFill="1" applyBorder="1" applyAlignment="1" applyProtection="1">
      <alignment horizontal="center" vertical="center" wrapText="1"/>
      <protection hidden="1"/>
    </xf>
    <xf numFmtId="180" fontId="7" fillId="27" borderId="23" xfId="0" applyNumberFormat="1" applyFont="1" applyFill="1" applyBorder="1" applyAlignment="1" applyProtection="1">
      <alignment horizontal="left" vertical="center"/>
      <protection hidden="1"/>
    </xf>
    <xf numFmtId="180" fontId="7" fillId="27" borderId="0" xfId="0" applyNumberFormat="1" applyFont="1" applyFill="1" applyAlignment="1" applyProtection="1">
      <alignment horizontal="left" vertical="center"/>
      <protection hidden="1"/>
    </xf>
    <xf numFmtId="180" fontId="7" fillId="27" borderId="0" xfId="0" applyNumberFormat="1" applyFont="1" applyFill="1" applyAlignment="1" applyProtection="1">
      <alignment horizontal="left"/>
      <protection hidden="1"/>
    </xf>
    <xf numFmtId="180" fontId="7" fillId="27" borderId="55" xfId="0" applyNumberFormat="1" applyFont="1" applyFill="1" applyBorder="1" applyAlignment="1" applyProtection="1">
      <alignment horizontal="left"/>
      <protection hidden="1"/>
    </xf>
    <xf numFmtId="183" fontId="65" fillId="27" borderId="0" xfId="0" applyNumberFormat="1" applyFont="1" applyFill="1" applyAlignment="1" applyProtection="1">
      <alignment horizontal="center" vertical="center"/>
      <protection hidden="1"/>
    </xf>
    <xf numFmtId="194" fontId="52" fillId="27" borderId="56" xfId="0" applyNumberFormat="1" applyFont="1" applyFill="1" applyBorder="1" applyAlignment="1" applyProtection="1">
      <alignment horizontal="center" vertical="center"/>
      <protection hidden="1"/>
    </xf>
    <xf numFmtId="180" fontId="7" fillId="26" borderId="57" xfId="0" applyNumberFormat="1" applyFont="1" applyFill="1" applyBorder="1" applyAlignment="1" applyProtection="1">
      <alignment horizontal="left" vertical="center"/>
      <protection hidden="1"/>
    </xf>
    <xf numFmtId="180" fontId="7" fillId="26" borderId="58" xfId="0" applyNumberFormat="1" applyFont="1" applyFill="1" applyBorder="1" applyAlignment="1" applyProtection="1">
      <alignment horizontal="left" vertical="center"/>
      <protection hidden="1"/>
    </xf>
    <xf numFmtId="180" fontId="7" fillId="26" borderId="58" xfId="0" applyNumberFormat="1" applyFont="1" applyFill="1" applyBorder="1" applyAlignment="1" applyProtection="1">
      <alignment horizontal="left"/>
      <protection hidden="1"/>
    </xf>
    <xf numFmtId="180" fontId="7" fillId="26" borderId="59" xfId="0" applyNumberFormat="1" applyFont="1" applyFill="1" applyBorder="1" applyAlignment="1" applyProtection="1">
      <alignment horizontal="left"/>
      <protection hidden="1"/>
    </xf>
    <xf numFmtId="194" fontId="82" fillId="26" borderId="60" xfId="0" applyNumberFormat="1" applyFont="1" applyFill="1" applyBorder="1" applyAlignment="1" applyProtection="1">
      <alignment horizontal="center" vertical="center"/>
      <protection hidden="1"/>
    </xf>
    <xf numFmtId="183" fontId="71" fillId="26" borderId="61" xfId="0" applyNumberFormat="1" applyFont="1" applyFill="1" applyBorder="1" applyAlignment="1" applyProtection="1">
      <alignment horizontal="center" vertical="center"/>
      <protection hidden="1"/>
    </xf>
    <xf numFmtId="0" fontId="8" fillId="28" borderId="49" xfId="0" applyFont="1" applyFill="1" applyBorder="1" applyAlignment="1" applyProtection="1">
      <alignment horizontal="left" vertical="center"/>
      <protection hidden="1"/>
    </xf>
    <xf numFmtId="0" fontId="30" fillId="28" borderId="49" xfId="0" applyFont="1" applyFill="1" applyBorder="1" applyProtection="1">
      <alignment vertical="center"/>
      <protection hidden="1"/>
    </xf>
    <xf numFmtId="0" fontId="8" fillId="25" borderId="21" xfId="0" applyFont="1" applyFill="1" applyBorder="1" applyAlignment="1" applyProtection="1">
      <alignment horizontal="left" vertical="top"/>
      <protection hidden="1"/>
    </xf>
    <xf numFmtId="0" fontId="32" fillId="25" borderId="21" xfId="0" applyFont="1" applyFill="1" applyBorder="1" applyAlignment="1" applyProtection="1">
      <alignment vertical="top"/>
      <protection hidden="1"/>
    </xf>
    <xf numFmtId="0" fontId="11" fillId="25" borderId="22" xfId="0" applyFont="1" applyFill="1" applyBorder="1" applyAlignment="1" applyProtection="1">
      <alignment vertical="top"/>
      <protection hidden="1"/>
    </xf>
    <xf numFmtId="0" fontId="29" fillId="27" borderId="62" xfId="0" applyFont="1" applyFill="1" applyBorder="1" applyProtection="1">
      <alignment vertical="center"/>
      <protection hidden="1"/>
    </xf>
    <xf numFmtId="0" fontId="9" fillId="27" borderId="0" xfId="0" applyFont="1" applyFill="1" applyAlignment="1" applyProtection="1">
      <alignment horizontal="left" vertical="center"/>
      <protection hidden="1"/>
    </xf>
    <xf numFmtId="0" fontId="5" fillId="26" borderId="63" xfId="0" applyFont="1" applyFill="1" applyBorder="1" applyProtection="1">
      <alignment vertical="center"/>
      <protection hidden="1"/>
    </xf>
    <xf numFmtId="0" fontId="5" fillId="26" borderId="58" xfId="0" applyFont="1" applyFill="1" applyBorder="1" applyAlignment="1" applyProtection="1">
      <alignment horizontal="left" vertical="center"/>
      <protection hidden="1"/>
    </xf>
    <xf numFmtId="0" fontId="13" fillId="26" borderId="64" xfId="0" applyFont="1" applyFill="1" applyBorder="1" applyAlignment="1" applyProtection="1">
      <alignment horizontal="left" vertical="center"/>
      <protection hidden="1"/>
    </xf>
    <xf numFmtId="0" fontId="5" fillId="25" borderId="23" xfId="0" quotePrefix="1" applyFont="1" applyFill="1" applyBorder="1" applyProtection="1">
      <alignment vertical="center"/>
      <protection hidden="1"/>
    </xf>
    <xf numFmtId="0" fontId="27" fillId="25" borderId="65" xfId="0" applyFont="1" applyFill="1" applyBorder="1" applyAlignment="1" applyProtection="1">
      <alignment horizontal="left" vertical="center"/>
      <protection hidden="1"/>
    </xf>
    <xf numFmtId="0" fontId="27" fillId="25" borderId="0" xfId="0" applyFont="1" applyFill="1" applyAlignment="1" applyProtection="1">
      <alignment horizontal="left" vertical="center"/>
      <protection hidden="1"/>
    </xf>
    <xf numFmtId="0" fontId="80" fillId="25" borderId="20" xfId="0" applyFont="1" applyFill="1" applyBorder="1" applyProtection="1">
      <alignment vertical="center"/>
      <protection hidden="1"/>
    </xf>
    <xf numFmtId="0" fontId="27" fillId="25" borderId="23" xfId="0" applyFont="1" applyFill="1" applyBorder="1" applyAlignment="1" applyProtection="1">
      <alignment horizontal="center"/>
      <protection hidden="1"/>
    </xf>
    <xf numFmtId="0" fontId="5" fillId="25" borderId="66" xfId="0" applyFont="1" applyFill="1" applyBorder="1" applyProtection="1">
      <alignment vertical="center"/>
      <protection hidden="1"/>
    </xf>
    <xf numFmtId="0" fontId="13" fillId="25" borderId="67" xfId="0" applyFont="1" applyFill="1" applyBorder="1" applyProtection="1">
      <alignment vertical="center"/>
      <protection hidden="1"/>
    </xf>
    <xf numFmtId="0" fontId="13" fillId="25" borderId="39" xfId="0" applyFont="1" applyFill="1" applyBorder="1" applyProtection="1">
      <alignment vertical="center"/>
      <protection hidden="1"/>
    </xf>
    <xf numFmtId="0" fontId="13" fillId="25" borderId="68" xfId="0" applyFont="1" applyFill="1" applyBorder="1" applyProtection="1">
      <alignment vertical="center"/>
      <protection hidden="1"/>
    </xf>
    <xf numFmtId="0" fontId="79" fillId="25" borderId="11" xfId="29" applyFont="1" applyFill="1" applyBorder="1" applyAlignment="1" applyProtection="1">
      <alignment horizontal="center" vertical="center"/>
      <protection hidden="1"/>
    </xf>
    <xf numFmtId="0" fontId="13" fillId="25" borderId="21" xfId="0" applyFont="1" applyFill="1" applyBorder="1" applyProtection="1">
      <alignment vertical="center"/>
      <protection hidden="1"/>
    </xf>
    <xf numFmtId="0" fontId="13" fillId="25" borderId="22" xfId="0" applyFont="1" applyFill="1" applyBorder="1" applyProtection="1">
      <alignment vertical="center"/>
      <protection hidden="1"/>
    </xf>
    <xf numFmtId="0" fontId="79" fillId="25" borderId="69" xfId="29" applyFont="1" applyFill="1" applyBorder="1" applyAlignment="1" applyProtection="1">
      <alignment horizontal="center" vertical="center"/>
      <protection hidden="1"/>
    </xf>
    <xf numFmtId="0" fontId="13" fillId="25" borderId="48" xfId="0" applyFont="1" applyFill="1" applyBorder="1" applyProtection="1">
      <alignment vertical="center"/>
      <protection hidden="1"/>
    </xf>
    <xf numFmtId="0" fontId="5" fillId="25" borderId="11" xfId="0" applyFont="1" applyFill="1" applyBorder="1" applyProtection="1">
      <alignment vertical="center"/>
      <protection hidden="1"/>
    </xf>
    <xf numFmtId="0" fontId="13" fillId="25" borderId="20" xfId="0" applyFont="1" applyFill="1" applyBorder="1" applyProtection="1">
      <alignment vertical="center"/>
      <protection hidden="1"/>
    </xf>
    <xf numFmtId="0" fontId="5" fillId="25" borderId="48" xfId="0" applyFont="1" applyFill="1" applyBorder="1" applyProtection="1">
      <alignment vertical="center"/>
      <protection hidden="1"/>
    </xf>
    <xf numFmtId="0" fontId="27" fillId="25" borderId="39" xfId="0" applyFont="1" applyFill="1" applyBorder="1" applyAlignment="1" applyProtection="1">
      <alignment horizontal="left" vertical="center"/>
      <protection hidden="1"/>
    </xf>
    <xf numFmtId="0" fontId="13" fillId="25" borderId="67" xfId="0" applyFont="1" applyFill="1" applyBorder="1" applyAlignment="1" applyProtection="1">
      <alignment horizontal="left" vertical="center"/>
      <protection hidden="1"/>
    </xf>
    <xf numFmtId="0" fontId="80" fillId="25" borderId="70" xfId="0" applyFont="1" applyFill="1" applyBorder="1" applyProtection="1">
      <alignment vertical="center"/>
      <protection hidden="1"/>
    </xf>
    <xf numFmtId="0" fontId="80" fillId="25" borderId="68" xfId="0" applyFont="1" applyFill="1" applyBorder="1" applyProtection="1">
      <alignment vertical="center"/>
      <protection hidden="1"/>
    </xf>
    <xf numFmtId="0" fontId="27" fillId="25" borderId="23" xfId="0" quotePrefix="1" applyFont="1" applyFill="1" applyBorder="1" applyAlignment="1" applyProtection="1">
      <alignment horizontal="center" vertical="center"/>
      <protection hidden="1"/>
    </xf>
    <xf numFmtId="0" fontId="80" fillId="25" borderId="22" xfId="0" applyFont="1" applyFill="1" applyBorder="1" applyProtection="1">
      <alignment vertical="center"/>
      <protection hidden="1"/>
    </xf>
    <xf numFmtId="0" fontId="5" fillId="26" borderId="71" xfId="0" applyFont="1" applyFill="1" applyBorder="1" applyProtection="1">
      <alignment vertical="center"/>
      <protection hidden="1"/>
    </xf>
    <xf numFmtId="0" fontId="5" fillId="26" borderId="72" xfId="0" applyFont="1" applyFill="1" applyBorder="1" applyAlignment="1" applyProtection="1">
      <alignment horizontal="left"/>
      <protection hidden="1"/>
    </xf>
    <xf numFmtId="0" fontId="2" fillId="26" borderId="73" xfId="0" applyFont="1" applyFill="1" applyBorder="1" applyProtection="1">
      <alignment vertical="center"/>
      <protection hidden="1"/>
    </xf>
    <xf numFmtId="0" fontId="5" fillId="26" borderId="72" xfId="0" applyFont="1" applyFill="1" applyBorder="1" applyAlignment="1" applyProtection="1">
      <alignment horizontal="left" vertical="center"/>
      <protection hidden="1"/>
    </xf>
    <xf numFmtId="0" fontId="13" fillId="26" borderId="73" xfId="0" applyFont="1" applyFill="1" applyBorder="1" applyAlignment="1" applyProtection="1">
      <alignment horizontal="left" vertical="center"/>
      <protection hidden="1"/>
    </xf>
    <xf numFmtId="0" fontId="5" fillId="25" borderId="38" xfId="0" quotePrefix="1" applyFont="1" applyFill="1" applyBorder="1" applyProtection="1">
      <alignment vertical="center"/>
      <protection hidden="1"/>
    </xf>
    <xf numFmtId="0" fontId="5" fillId="25" borderId="74" xfId="0" quotePrefix="1" applyFont="1" applyFill="1" applyBorder="1" applyProtection="1">
      <alignment vertical="center"/>
      <protection hidden="1"/>
    </xf>
    <xf numFmtId="0" fontId="27" fillId="25" borderId="21" xfId="0" applyFont="1" applyFill="1" applyBorder="1" applyAlignment="1" applyProtection="1">
      <alignment horizontal="left" vertical="center"/>
      <protection hidden="1"/>
    </xf>
    <xf numFmtId="0" fontId="11" fillId="24" borderId="0" xfId="0" applyFont="1" applyFill="1" applyProtection="1">
      <alignment vertical="center"/>
      <protection hidden="1"/>
    </xf>
    <xf numFmtId="0" fontId="29" fillId="27" borderId="75" xfId="0" applyFont="1" applyFill="1" applyBorder="1" applyAlignment="1" applyProtection="1">
      <alignment horizontal="left" vertical="center"/>
      <protection hidden="1"/>
    </xf>
    <xf numFmtId="0" fontId="29" fillId="27" borderId="76" xfId="0" applyFont="1" applyFill="1" applyBorder="1" applyAlignment="1" applyProtection="1">
      <alignment horizontal="left" vertical="center"/>
      <protection hidden="1"/>
    </xf>
    <xf numFmtId="0" fontId="29" fillId="27" borderId="77" xfId="0" applyFont="1" applyFill="1" applyBorder="1" applyAlignment="1" applyProtection="1">
      <alignment horizontal="left" vertical="center"/>
      <protection hidden="1"/>
    </xf>
    <xf numFmtId="0" fontId="5" fillId="26" borderId="57" xfId="0" applyFont="1" applyFill="1" applyBorder="1" applyProtection="1">
      <alignment vertical="center"/>
      <protection hidden="1"/>
    </xf>
    <xf numFmtId="0" fontId="27" fillId="26" borderId="64" xfId="0" applyFont="1" applyFill="1" applyBorder="1" applyAlignment="1" applyProtection="1">
      <alignment horizontal="right" vertical="center"/>
      <protection hidden="1"/>
    </xf>
    <xf numFmtId="0" fontId="27" fillId="25" borderId="68" xfId="0" applyFont="1" applyFill="1" applyBorder="1" applyAlignment="1" applyProtection="1">
      <alignment horizontal="right" vertical="center"/>
      <protection hidden="1"/>
    </xf>
    <xf numFmtId="0" fontId="5" fillId="25" borderId="74" xfId="0" applyFont="1" applyFill="1" applyBorder="1" applyProtection="1">
      <alignment vertical="center"/>
      <protection hidden="1"/>
    </xf>
    <xf numFmtId="0" fontId="5" fillId="25" borderId="23" xfId="0" applyFont="1" applyFill="1" applyBorder="1" applyProtection="1">
      <alignment vertical="center"/>
      <protection hidden="1"/>
    </xf>
    <xf numFmtId="0" fontId="69" fillId="25" borderId="23" xfId="0" applyFont="1" applyFill="1" applyBorder="1" applyAlignment="1" applyProtection="1">
      <alignment horizontal="center" vertical="center"/>
      <protection hidden="1"/>
    </xf>
    <xf numFmtId="0" fontId="69" fillId="25" borderId="23" xfId="0" quotePrefix="1" applyFont="1" applyFill="1" applyBorder="1" applyAlignment="1" applyProtection="1">
      <alignment horizontal="center" vertical="center"/>
      <protection hidden="1"/>
    </xf>
    <xf numFmtId="0" fontId="69" fillId="25" borderId="24" xfId="0" applyFont="1" applyFill="1" applyBorder="1" applyAlignment="1" applyProtection="1">
      <alignment horizontal="center" vertical="center"/>
      <protection hidden="1"/>
    </xf>
    <xf numFmtId="0" fontId="5" fillId="25" borderId="78" xfId="0" applyFont="1" applyFill="1" applyBorder="1" applyProtection="1">
      <alignment vertical="center"/>
      <protection hidden="1"/>
    </xf>
    <xf numFmtId="0" fontId="80" fillId="25" borderId="79" xfId="0" applyFont="1" applyFill="1" applyBorder="1" applyProtection="1">
      <alignment vertical="center"/>
      <protection hidden="1"/>
    </xf>
    <xf numFmtId="0" fontId="27" fillId="24" borderId="0" xfId="0" quotePrefix="1" applyFont="1" applyFill="1" applyAlignment="1" applyProtection="1">
      <alignment horizontal="left" vertical="center"/>
      <protection hidden="1"/>
    </xf>
    <xf numFmtId="0" fontId="8" fillId="24" borderId="0" xfId="0" applyFont="1" applyFill="1" applyAlignment="1" applyProtection="1">
      <alignment horizontal="left" vertical="center"/>
      <protection hidden="1"/>
    </xf>
    <xf numFmtId="0" fontId="10" fillId="24" borderId="0" xfId="0" applyFont="1" applyFill="1" applyAlignment="1" applyProtection="1">
      <alignment horizontal="center" vertical="justify"/>
      <protection hidden="1"/>
    </xf>
    <xf numFmtId="183" fontId="25" fillId="25" borderId="55" xfId="0" applyNumberFormat="1" applyFont="1" applyFill="1" applyBorder="1" applyAlignment="1" applyProtection="1">
      <alignment horizontal="center" vertical="center"/>
      <protection hidden="1"/>
    </xf>
    <xf numFmtId="194" fontId="72" fillId="25" borderId="80" xfId="0" applyNumberFormat="1" applyFont="1" applyFill="1" applyBorder="1" applyAlignment="1" applyProtection="1">
      <alignment horizontal="center" vertical="center"/>
      <protection hidden="1"/>
    </xf>
    <xf numFmtId="183" fontId="82" fillId="25" borderId="81" xfId="0" applyNumberFormat="1" applyFont="1" applyFill="1" applyBorder="1" applyAlignment="1" applyProtection="1">
      <alignment horizontal="center" vertical="center"/>
      <protection hidden="1"/>
    </xf>
    <xf numFmtId="183" fontId="25" fillId="25" borderId="82" xfId="0" applyNumberFormat="1" applyFont="1" applyFill="1" applyBorder="1" applyAlignment="1" applyProtection="1">
      <alignment horizontal="center" vertical="center"/>
      <protection hidden="1"/>
    </xf>
    <xf numFmtId="183" fontId="82" fillId="25" borderId="83" xfId="0" applyNumberFormat="1" applyFont="1" applyFill="1" applyBorder="1" applyAlignment="1" applyProtection="1">
      <alignment horizontal="center" vertical="center"/>
      <protection hidden="1"/>
    </xf>
    <xf numFmtId="183" fontId="65" fillId="24" borderId="84" xfId="0" applyNumberFormat="1" applyFont="1" applyFill="1" applyBorder="1" applyAlignment="1" applyProtection="1">
      <alignment horizontal="center" vertical="center"/>
      <protection hidden="1"/>
    </xf>
    <xf numFmtId="183" fontId="65" fillId="24" borderId="85" xfId="0" applyNumberFormat="1" applyFont="1" applyFill="1" applyBorder="1" applyAlignment="1" applyProtection="1">
      <alignment horizontal="center" vertical="center"/>
      <protection hidden="1"/>
    </xf>
    <xf numFmtId="183" fontId="65" fillId="24" borderId="81" xfId="0" applyNumberFormat="1" applyFont="1" applyFill="1" applyBorder="1" applyAlignment="1" applyProtection="1">
      <alignment horizontal="center" vertical="center"/>
      <protection hidden="1"/>
    </xf>
    <xf numFmtId="183" fontId="25" fillId="24" borderId="85" xfId="0" applyNumberFormat="1" applyFont="1" applyFill="1" applyBorder="1" applyAlignment="1" applyProtection="1">
      <alignment horizontal="center" vertical="center"/>
      <protection hidden="1"/>
    </xf>
    <xf numFmtId="183" fontId="25" fillId="25" borderId="52" xfId="0" applyNumberFormat="1" applyFont="1" applyFill="1" applyBorder="1" applyAlignment="1" applyProtection="1">
      <alignment horizontal="center" vertical="center"/>
      <protection hidden="1"/>
    </xf>
    <xf numFmtId="194" fontId="72" fillId="25" borderId="86" xfId="0" applyNumberFormat="1" applyFont="1" applyFill="1" applyBorder="1" applyAlignment="1" applyProtection="1">
      <alignment horizontal="center" vertical="center"/>
      <protection hidden="1"/>
    </xf>
    <xf numFmtId="183" fontId="82" fillId="25" borderId="87" xfId="0" applyNumberFormat="1" applyFont="1" applyFill="1" applyBorder="1" applyAlignment="1" applyProtection="1">
      <alignment horizontal="center" vertical="center"/>
      <protection hidden="1"/>
    </xf>
    <xf numFmtId="194" fontId="72" fillId="25" borderId="88" xfId="0" applyNumberFormat="1" applyFont="1" applyFill="1" applyBorder="1" applyAlignment="1" applyProtection="1">
      <alignment horizontal="center" vertical="center"/>
      <protection hidden="1"/>
    </xf>
    <xf numFmtId="183" fontId="82" fillId="25" borderId="85" xfId="0" applyNumberFormat="1" applyFont="1" applyFill="1" applyBorder="1" applyAlignment="1" applyProtection="1">
      <alignment horizontal="center" vertical="center"/>
      <protection hidden="1"/>
    </xf>
    <xf numFmtId="194" fontId="82" fillId="26" borderId="89" xfId="0" applyNumberFormat="1" applyFont="1" applyFill="1" applyBorder="1" applyAlignment="1" applyProtection="1">
      <alignment horizontal="center" vertical="center"/>
      <protection hidden="1"/>
    </xf>
    <xf numFmtId="183" fontId="71" fillId="26" borderId="90" xfId="0" applyNumberFormat="1" applyFont="1" applyFill="1" applyBorder="1" applyAlignment="1" applyProtection="1">
      <alignment horizontal="center" vertical="center"/>
      <protection hidden="1"/>
    </xf>
    <xf numFmtId="183" fontId="82" fillId="25" borderId="91" xfId="0" applyNumberFormat="1" applyFont="1" applyFill="1" applyBorder="1" applyAlignment="1" applyProtection="1">
      <alignment horizontal="center" vertical="center"/>
      <protection hidden="1"/>
    </xf>
    <xf numFmtId="194" fontId="72" fillId="25" borderId="16" xfId="0" applyNumberFormat="1" applyFont="1" applyFill="1" applyBorder="1" applyAlignment="1" applyProtection="1">
      <alignment horizontal="center" vertical="center"/>
      <protection hidden="1"/>
    </xf>
    <xf numFmtId="183" fontId="25" fillId="25" borderId="92" xfId="0" applyNumberFormat="1" applyFont="1" applyFill="1" applyBorder="1" applyAlignment="1" applyProtection="1">
      <alignment horizontal="center" vertical="center"/>
      <protection hidden="1"/>
    </xf>
    <xf numFmtId="194" fontId="72" fillId="25" borderId="17" xfId="0" applyNumberFormat="1" applyFont="1" applyFill="1" applyBorder="1" applyAlignment="1" applyProtection="1">
      <alignment horizontal="center" vertical="center"/>
      <protection hidden="1"/>
    </xf>
    <xf numFmtId="194" fontId="72" fillId="27" borderId="93" xfId="0" applyNumberFormat="1" applyFont="1" applyFill="1" applyBorder="1" applyAlignment="1" applyProtection="1">
      <alignment horizontal="center" vertical="center"/>
      <protection hidden="1"/>
    </xf>
    <xf numFmtId="183" fontId="25" fillId="24" borderId="41" xfId="0" applyNumberFormat="1" applyFont="1" applyFill="1" applyBorder="1" applyAlignment="1" applyProtection="1">
      <alignment horizontal="center" vertical="center"/>
      <protection hidden="1"/>
    </xf>
    <xf numFmtId="194" fontId="72" fillId="25" borderId="94" xfId="0" applyNumberFormat="1" applyFont="1" applyFill="1" applyBorder="1" applyAlignment="1" applyProtection="1">
      <alignment horizontal="center" vertical="center"/>
      <protection hidden="1"/>
    </xf>
    <xf numFmtId="183" fontId="25" fillId="24" borderId="81" xfId="0" applyNumberFormat="1" applyFont="1" applyFill="1" applyBorder="1" applyAlignment="1" applyProtection="1">
      <alignment horizontal="center" vertical="center"/>
      <protection hidden="1"/>
    </xf>
    <xf numFmtId="180" fontId="7" fillId="24" borderId="0" xfId="0" applyNumberFormat="1" applyFont="1" applyFill="1" applyAlignment="1" applyProtection="1">
      <alignment horizontal="left" vertical="center"/>
      <protection hidden="1"/>
    </xf>
    <xf numFmtId="183" fontId="27" fillId="0" borderId="0" xfId="0" applyNumberFormat="1" applyFont="1" applyAlignment="1" applyProtection="1">
      <alignment horizontal="center" vertical="center"/>
      <protection hidden="1"/>
    </xf>
    <xf numFmtId="184" fontId="13" fillId="24" borderId="0" xfId="0" applyNumberFormat="1" applyFont="1" applyFill="1" applyAlignment="1" applyProtection="1">
      <alignment horizontal="center" vertical="center"/>
      <protection hidden="1"/>
    </xf>
    <xf numFmtId="40" fontId="7" fillId="24" borderId="0" xfId="35" applyNumberFormat="1" applyFont="1" applyFill="1" applyBorder="1" applyAlignment="1" applyProtection="1">
      <alignment vertical="center"/>
      <protection hidden="1"/>
    </xf>
    <xf numFmtId="40" fontId="34" fillId="24" borderId="0" xfId="35" applyNumberFormat="1" applyFont="1" applyFill="1" applyBorder="1" applyAlignment="1" applyProtection="1">
      <alignment vertical="center"/>
      <protection hidden="1"/>
    </xf>
    <xf numFmtId="0" fontId="34" fillId="24" borderId="0" xfId="0" quotePrefix="1" applyFont="1" applyFill="1" applyAlignment="1" applyProtection="1">
      <alignment horizontal="center" vertical="center"/>
      <protection hidden="1"/>
    </xf>
    <xf numFmtId="183" fontId="25" fillId="25" borderId="95" xfId="0" applyNumberFormat="1" applyFont="1" applyFill="1" applyBorder="1" applyAlignment="1" applyProtection="1">
      <alignment horizontal="center" vertical="center"/>
      <protection hidden="1"/>
    </xf>
    <xf numFmtId="0" fontId="13" fillId="25" borderId="96" xfId="0" applyFont="1" applyFill="1" applyBorder="1" applyProtection="1">
      <alignment vertical="center"/>
      <protection hidden="1"/>
    </xf>
    <xf numFmtId="0" fontId="27" fillId="25" borderId="20" xfId="0" applyFont="1" applyFill="1" applyBorder="1" applyAlignment="1" applyProtection="1">
      <alignment horizontal="right" vertical="center"/>
      <protection hidden="1"/>
    </xf>
    <xf numFmtId="0" fontId="10" fillId="24" borderId="21" xfId="0" applyFont="1" applyFill="1" applyBorder="1" applyAlignment="1" applyProtection="1">
      <alignment horizontal="right" vertical="center"/>
      <protection hidden="1"/>
    </xf>
    <xf numFmtId="0" fontId="5" fillId="25" borderId="97" xfId="0" quotePrefix="1" applyFont="1" applyFill="1" applyBorder="1" applyProtection="1">
      <alignment vertical="center"/>
      <protection hidden="1"/>
    </xf>
    <xf numFmtId="0" fontId="63" fillId="0" borderId="0" xfId="0" applyFont="1" applyAlignment="1">
      <alignment horizontal="left" vertical="center"/>
    </xf>
    <xf numFmtId="0" fontId="10" fillId="24" borderId="0" xfId="0" applyFont="1" applyFill="1" applyAlignment="1" applyProtection="1">
      <alignment horizontal="center" vertical="center"/>
      <protection hidden="1"/>
    </xf>
    <xf numFmtId="0" fontId="81" fillId="0" borderId="0" xfId="0" applyFont="1" applyProtection="1">
      <alignment vertical="center"/>
      <protection hidden="1"/>
    </xf>
    <xf numFmtId="179" fontId="3" fillId="0" borderId="0" xfId="0" applyNumberFormat="1" applyFont="1" applyAlignment="1">
      <alignment vertical="center" wrapText="1"/>
    </xf>
    <xf numFmtId="0" fontId="3" fillId="24" borderId="0" xfId="0" applyFont="1" applyFill="1" applyAlignment="1" applyProtection="1">
      <alignment vertical="top"/>
      <protection hidden="1"/>
    </xf>
    <xf numFmtId="0" fontId="41" fillId="24" borderId="0" xfId="0" applyFont="1" applyFill="1" applyProtection="1">
      <alignment vertical="center"/>
      <protection hidden="1"/>
    </xf>
    <xf numFmtId="0" fontId="41" fillId="24" borderId="0" xfId="0" applyFont="1" applyFill="1" applyAlignment="1">
      <alignment horizontal="left" vertical="center"/>
    </xf>
    <xf numFmtId="0" fontId="63" fillId="0" borderId="0" xfId="0" applyFont="1">
      <alignment vertical="center"/>
    </xf>
    <xf numFmtId="0" fontId="10" fillId="24" borderId="0" xfId="0" applyFont="1" applyFill="1">
      <alignment vertical="center"/>
    </xf>
    <xf numFmtId="0" fontId="85" fillId="24" borderId="0" xfId="0" applyFont="1" applyFill="1" applyProtection="1">
      <alignment vertical="center"/>
      <protection hidden="1"/>
    </xf>
    <xf numFmtId="179" fontId="3" fillId="24" borderId="0" xfId="0" applyNumberFormat="1" applyFont="1" applyFill="1">
      <alignment vertical="center"/>
    </xf>
    <xf numFmtId="0" fontId="41" fillId="24" borderId="0" xfId="29" applyFont="1" applyFill="1" applyAlignment="1" applyProtection="1">
      <alignment horizontal="left"/>
      <protection hidden="1"/>
    </xf>
    <xf numFmtId="38" fontId="3" fillId="0" borderId="10" xfId="35" applyFont="1" applyFill="1" applyBorder="1" applyAlignment="1" applyProtection="1">
      <alignment horizontal="center" vertical="center"/>
      <protection hidden="1"/>
    </xf>
    <xf numFmtId="0" fontId="5" fillId="0" borderId="0" xfId="0" applyFont="1" applyProtection="1">
      <alignment vertical="center"/>
      <protection hidden="1"/>
    </xf>
    <xf numFmtId="38" fontId="10" fillId="0" borderId="10" xfId="35" applyFont="1" applyFill="1" applyBorder="1" applyAlignment="1" applyProtection="1">
      <alignment horizontal="center" vertical="center"/>
      <protection hidden="1"/>
    </xf>
    <xf numFmtId="178" fontId="10" fillId="0" borderId="10" xfId="0" applyNumberFormat="1" applyFont="1" applyBorder="1" applyAlignment="1" applyProtection="1">
      <alignment horizontal="center" vertical="center"/>
      <protection hidden="1"/>
    </xf>
    <xf numFmtId="0" fontId="75" fillId="0" borderId="10" xfId="0" applyFont="1" applyBorder="1" applyProtection="1">
      <alignment vertical="center"/>
      <protection hidden="1"/>
    </xf>
    <xf numFmtId="178" fontId="10" fillId="0" borderId="10" xfId="0" quotePrefix="1" applyNumberFormat="1" applyFont="1" applyBorder="1" applyAlignment="1" applyProtection="1">
      <alignment horizontal="center" vertical="center"/>
      <protection hidden="1"/>
    </xf>
    <xf numFmtId="0" fontId="75" fillId="0" borderId="10" xfId="0" applyFont="1" applyBorder="1" applyAlignment="1" applyProtection="1">
      <alignment horizontal="center" vertical="center"/>
      <protection hidden="1"/>
    </xf>
    <xf numFmtId="195" fontId="3" fillId="0" borderId="10" xfId="35" applyNumberFormat="1" applyFont="1" applyFill="1" applyBorder="1" applyAlignment="1" applyProtection="1">
      <alignment horizontal="center" vertical="center"/>
      <protection hidden="1"/>
    </xf>
    <xf numFmtId="196" fontId="10" fillId="26" borderId="41" xfId="0" applyNumberFormat="1" applyFont="1" applyFill="1" applyBorder="1" applyAlignment="1" applyProtection="1">
      <alignment horizontal="center" vertical="center"/>
      <protection locked="0" hidden="1"/>
    </xf>
    <xf numFmtId="0" fontId="23" fillId="0" borderId="10" xfId="0" applyFont="1" applyBorder="1" applyAlignment="1" applyProtection="1">
      <alignment horizontal="center" vertical="center"/>
      <protection hidden="1"/>
    </xf>
    <xf numFmtId="0" fontId="67" fillId="0" borderId="0" xfId="0" applyFont="1">
      <alignment vertical="center"/>
    </xf>
    <xf numFmtId="0" fontId="33" fillId="0" borderId="0" xfId="0" applyFont="1">
      <alignment vertical="center"/>
    </xf>
    <xf numFmtId="0" fontId="74" fillId="0" borderId="0" xfId="0" applyFont="1" applyAlignment="1" applyProtection="1">
      <alignment horizontal="left" vertical="center"/>
      <protection hidden="1"/>
    </xf>
    <xf numFmtId="0" fontId="86" fillId="0" borderId="0" xfId="0" applyFont="1" applyProtection="1">
      <alignment vertical="center"/>
      <protection hidden="1"/>
    </xf>
    <xf numFmtId="177" fontId="86" fillId="0" borderId="0" xfId="0" applyNumberFormat="1" applyFont="1" applyProtection="1">
      <alignment vertical="center"/>
      <protection hidden="1"/>
    </xf>
    <xf numFmtId="0" fontId="64" fillId="0" borderId="0" xfId="0" applyFont="1" applyProtection="1">
      <alignment vertical="center"/>
      <protection hidden="1"/>
    </xf>
    <xf numFmtId="177" fontId="64" fillId="0" borderId="0" xfId="0" applyNumberFormat="1" applyFont="1" applyProtection="1">
      <alignment vertical="center"/>
      <protection hidden="1"/>
    </xf>
    <xf numFmtId="0" fontId="14" fillId="31" borderId="49" xfId="0" applyFont="1" applyFill="1" applyBorder="1" applyAlignment="1" applyProtection="1">
      <alignment horizontal="left" vertical="center"/>
      <protection hidden="1"/>
    </xf>
    <xf numFmtId="0" fontId="14" fillId="31" borderId="50" xfId="0" applyFont="1" applyFill="1" applyBorder="1" applyAlignment="1" applyProtection="1">
      <alignment horizontal="left" vertical="center"/>
      <protection hidden="1"/>
    </xf>
    <xf numFmtId="176" fontId="37" fillId="0" borderId="10" xfId="0" applyNumberFormat="1" applyFont="1" applyBorder="1" applyAlignment="1" applyProtection="1">
      <alignment horizontal="right"/>
      <protection hidden="1"/>
    </xf>
    <xf numFmtId="0" fontId="10" fillId="24" borderId="48" xfId="0" applyFont="1" applyFill="1" applyBorder="1" applyAlignment="1" applyProtection="1">
      <alignment horizontal="center" vertical="justify"/>
      <protection hidden="1"/>
    </xf>
    <xf numFmtId="0" fontId="10" fillId="24" borderId="17" xfId="0" applyFont="1" applyFill="1" applyBorder="1" applyAlignment="1" applyProtection="1">
      <alignment horizontal="center" vertical="justify"/>
      <protection hidden="1"/>
    </xf>
    <xf numFmtId="0" fontId="31" fillId="27" borderId="20" xfId="0" applyFont="1" applyFill="1" applyBorder="1" applyAlignment="1" applyProtection="1">
      <alignment horizontal="right" vertical="center"/>
      <protection hidden="1"/>
    </xf>
    <xf numFmtId="0" fontId="10" fillId="24" borderId="10" xfId="0" applyFont="1" applyFill="1" applyBorder="1" applyAlignment="1" applyProtection="1">
      <alignment horizontal="center" vertical="justify"/>
      <protection hidden="1"/>
    </xf>
    <xf numFmtId="0" fontId="25" fillId="25" borderId="10" xfId="0" applyFont="1" applyFill="1" applyBorder="1" applyAlignment="1" applyProtection="1">
      <alignment horizontal="center" vertical="center"/>
      <protection hidden="1"/>
    </xf>
    <xf numFmtId="0" fontId="10" fillId="0" borderId="10" xfId="0" applyFont="1" applyBorder="1" applyAlignment="1" applyProtection="1">
      <alignment horizontal="center" vertical="justify"/>
      <protection hidden="1"/>
    </xf>
    <xf numFmtId="0" fontId="82" fillId="0" borderId="10" xfId="0" applyFont="1" applyBorder="1" applyAlignment="1" applyProtection="1">
      <alignment horizontal="center" vertical="center"/>
      <protection hidden="1"/>
    </xf>
    <xf numFmtId="0" fontId="72" fillId="0" borderId="10" xfId="0" applyFont="1" applyBorder="1" applyAlignment="1" applyProtection="1">
      <alignment horizontal="center" vertical="center"/>
      <protection hidden="1"/>
    </xf>
    <xf numFmtId="0" fontId="3" fillId="24" borderId="10" xfId="0" applyFont="1" applyFill="1" applyBorder="1" applyAlignment="1" applyProtection="1">
      <alignment horizontal="center" vertical="justify"/>
      <protection hidden="1"/>
    </xf>
    <xf numFmtId="0" fontId="37" fillId="0" borderId="10" xfId="0" applyFont="1" applyBorder="1" applyAlignment="1" applyProtection="1">
      <alignment horizontal="left" vertical="center"/>
      <protection hidden="1"/>
    </xf>
    <xf numFmtId="0" fontId="67" fillId="0" borderId="10" xfId="0" applyFont="1" applyBorder="1" applyProtection="1">
      <alignment vertical="center"/>
      <protection hidden="1"/>
    </xf>
    <xf numFmtId="0" fontId="37" fillId="0" borderId="10" xfId="0" applyFont="1" applyBorder="1" applyAlignment="1" applyProtection="1">
      <alignment horizontal="right"/>
      <protection hidden="1"/>
    </xf>
    <xf numFmtId="0" fontId="2" fillId="0" borderId="10" xfId="0" applyFont="1" applyBorder="1" applyProtection="1">
      <alignment vertical="center"/>
      <protection hidden="1"/>
    </xf>
    <xf numFmtId="0" fontId="37" fillId="0" borderId="10" xfId="0" applyFont="1" applyBorder="1" applyProtection="1">
      <alignment vertical="center"/>
      <protection hidden="1"/>
    </xf>
    <xf numFmtId="0" fontId="37" fillId="0" borderId="0" xfId="0" applyFont="1" applyProtection="1">
      <alignment vertical="center"/>
      <protection hidden="1"/>
    </xf>
    <xf numFmtId="0" fontId="37" fillId="0" borderId="10" xfId="35" applyNumberFormat="1" applyFont="1" applyFill="1" applyBorder="1" applyAlignment="1" applyProtection="1">
      <protection hidden="1"/>
    </xf>
    <xf numFmtId="0" fontId="13" fillId="0" borderId="0" xfId="0" applyFont="1" applyAlignment="1" applyProtection="1">
      <alignment horizontal="left" vertical="center"/>
      <protection hidden="1"/>
    </xf>
    <xf numFmtId="0" fontId="37" fillId="0" borderId="0" xfId="0" applyFont="1" applyAlignment="1" applyProtection="1">
      <alignment horizontal="right"/>
      <protection hidden="1"/>
    </xf>
    <xf numFmtId="186" fontId="37" fillId="0" borderId="10" xfId="35" applyNumberFormat="1" applyFont="1" applyFill="1" applyBorder="1" applyAlignment="1" applyProtection="1">
      <alignment horizontal="right"/>
      <protection hidden="1"/>
    </xf>
    <xf numFmtId="197" fontId="37" fillId="0" borderId="10" xfId="0" applyNumberFormat="1" applyFont="1" applyBorder="1" applyAlignment="1" applyProtection="1">
      <alignment horizontal="left"/>
      <protection hidden="1"/>
    </xf>
    <xf numFmtId="0" fontId="47" fillId="0" borderId="0" xfId="0" applyFont="1" applyProtection="1">
      <alignment vertical="center"/>
      <protection hidden="1"/>
    </xf>
    <xf numFmtId="0" fontId="35" fillId="0" borderId="0" xfId="0" applyFont="1">
      <alignment vertical="center"/>
    </xf>
    <xf numFmtId="0" fontId="42" fillId="0" borderId="0" xfId="0" applyFont="1" applyAlignment="1">
      <alignment horizontal="center" vertical="center"/>
    </xf>
    <xf numFmtId="0" fontId="2" fillId="0" borderId="0" xfId="0" applyFont="1">
      <alignment vertical="center"/>
    </xf>
    <xf numFmtId="3" fontId="19" fillId="0" borderId="0" xfId="0" applyNumberFormat="1" applyFont="1" applyAlignment="1">
      <alignment horizontal="left" vertical="center"/>
    </xf>
    <xf numFmtId="0" fontId="0" fillId="25" borderId="98" xfId="0" applyFill="1" applyBorder="1" applyAlignment="1">
      <alignment horizontal="center" vertical="center"/>
    </xf>
    <xf numFmtId="0" fontId="0" fillId="25" borderId="99" xfId="0" applyFill="1" applyBorder="1" applyAlignment="1">
      <alignment horizontal="center" vertical="center" wrapText="1"/>
    </xf>
    <xf numFmtId="0" fontId="0" fillId="0" borderId="0" xfId="0" applyAlignment="1">
      <alignment horizontal="left" vertical="center"/>
    </xf>
    <xf numFmtId="0" fontId="13" fillId="0" borderId="96" xfId="0" applyFont="1" applyBorder="1">
      <alignment vertical="center"/>
    </xf>
    <xf numFmtId="0" fontId="13" fillId="0" borderId="96" xfId="0" applyFont="1" applyBorder="1" applyAlignment="1">
      <alignment horizontal="left" vertical="top" wrapText="1"/>
    </xf>
    <xf numFmtId="38" fontId="37" fillId="0" borderId="10" xfId="35" applyFont="1" applyFill="1" applyBorder="1" applyAlignment="1" applyProtection="1">
      <protection hidden="1"/>
    </xf>
    <xf numFmtId="0" fontId="3" fillId="25" borderId="39" xfId="0" applyFont="1" applyFill="1" applyBorder="1" applyAlignment="1" applyProtection="1">
      <alignment horizontal="center" vertical="center"/>
      <protection hidden="1"/>
    </xf>
    <xf numFmtId="192" fontId="10" fillId="25" borderId="39" xfId="0" applyNumberFormat="1" applyFont="1" applyFill="1" applyBorder="1" applyAlignment="1" applyProtection="1">
      <alignment horizontal="center" vertical="center" wrapText="1"/>
      <protection hidden="1"/>
    </xf>
    <xf numFmtId="177" fontId="10" fillId="25" borderId="17" xfId="0" applyNumberFormat="1" applyFont="1" applyFill="1" applyBorder="1" applyAlignment="1" applyProtection="1">
      <alignment horizontal="center" vertical="center" wrapText="1"/>
      <protection hidden="1"/>
    </xf>
    <xf numFmtId="2" fontId="3" fillId="26" borderId="17" xfId="0" applyNumberFormat="1" applyFont="1" applyFill="1" applyBorder="1" applyAlignment="1" applyProtection="1">
      <alignment horizontal="center" vertical="center"/>
      <protection hidden="1"/>
    </xf>
    <xf numFmtId="0" fontId="38" fillId="25" borderId="69" xfId="0" applyFont="1" applyFill="1" applyBorder="1" applyAlignment="1" applyProtection="1">
      <alignment horizontal="center" vertical="center"/>
      <protection hidden="1"/>
    </xf>
    <xf numFmtId="0" fontId="5" fillId="26" borderId="100" xfId="0" applyFont="1" applyFill="1" applyBorder="1" applyAlignment="1" applyProtection="1">
      <alignment horizontal="center" vertical="center"/>
      <protection locked="0" hidden="1"/>
    </xf>
    <xf numFmtId="0" fontId="5" fillId="26" borderId="101" xfId="0" applyFont="1" applyFill="1" applyBorder="1" applyAlignment="1" applyProtection="1">
      <alignment horizontal="center" vertical="center"/>
      <protection locked="0" hidden="1"/>
    </xf>
    <xf numFmtId="0" fontId="10" fillId="24" borderId="0" xfId="0" applyFont="1" applyFill="1" applyAlignment="1" applyProtection="1">
      <alignment horizontal="right" vertical="center"/>
      <protection hidden="1"/>
    </xf>
    <xf numFmtId="180" fontId="7" fillId="26" borderId="102" xfId="0" applyNumberFormat="1" applyFont="1" applyFill="1" applyBorder="1" applyAlignment="1" applyProtection="1">
      <alignment horizontal="center"/>
      <protection hidden="1"/>
    </xf>
    <xf numFmtId="180" fontId="7" fillId="26" borderId="103" xfId="0" applyNumberFormat="1" applyFont="1" applyFill="1" applyBorder="1" applyAlignment="1" applyProtection="1">
      <alignment horizontal="center"/>
      <protection hidden="1"/>
    </xf>
    <xf numFmtId="195" fontId="3" fillId="0" borderId="0" xfId="35" applyNumberFormat="1" applyFont="1" applyFill="1" applyBorder="1" applyAlignment="1" applyProtection="1">
      <alignment horizontal="center" vertical="center"/>
      <protection hidden="1"/>
    </xf>
    <xf numFmtId="0" fontId="41" fillId="24" borderId="0" xfId="0" applyFont="1" applyFill="1" applyAlignment="1" applyProtection="1">
      <alignment horizontal="center" vertical="center"/>
      <protection hidden="1"/>
    </xf>
    <xf numFmtId="38" fontId="67" fillId="0" borderId="10" xfId="0" applyNumberFormat="1" applyFont="1" applyBorder="1">
      <alignment vertical="center"/>
    </xf>
    <xf numFmtId="0" fontId="91" fillId="31" borderId="76" xfId="0" applyFont="1" applyFill="1" applyBorder="1" applyAlignment="1" applyProtection="1">
      <alignment horizontal="right" vertical="center"/>
      <protection hidden="1"/>
    </xf>
    <xf numFmtId="0" fontId="14" fillId="31" borderId="75" xfId="0" applyFont="1" applyFill="1" applyBorder="1" applyProtection="1">
      <alignment vertical="center"/>
      <protection hidden="1"/>
    </xf>
    <xf numFmtId="0" fontId="91" fillId="31" borderId="76" xfId="0" applyFont="1" applyFill="1" applyBorder="1" applyProtection="1">
      <alignment vertical="center"/>
      <protection hidden="1"/>
    </xf>
    <xf numFmtId="0" fontId="14" fillId="31" borderId="26" xfId="0" applyFont="1" applyFill="1" applyBorder="1" applyProtection="1">
      <alignment vertical="center"/>
      <protection hidden="1"/>
    </xf>
    <xf numFmtId="0" fontId="51" fillId="31" borderId="49" xfId="0" applyFont="1" applyFill="1" applyBorder="1" applyProtection="1">
      <alignment vertical="center"/>
      <protection hidden="1"/>
    </xf>
    <xf numFmtId="0" fontId="51" fillId="31" borderId="49" xfId="0" applyFont="1" applyFill="1" applyBorder="1" applyAlignment="1" applyProtection="1">
      <alignment horizontal="right" vertical="center"/>
      <protection hidden="1"/>
    </xf>
    <xf numFmtId="0" fontId="31" fillId="31" borderId="49" xfId="0" applyFont="1" applyFill="1" applyBorder="1" applyAlignment="1" applyProtection="1">
      <alignment horizontal="right" vertical="top"/>
      <protection hidden="1"/>
    </xf>
    <xf numFmtId="0" fontId="44" fillId="31" borderId="49" xfId="0" applyFont="1" applyFill="1" applyBorder="1" applyAlignment="1" applyProtection="1">
      <alignment horizontal="center" vertical="center"/>
      <protection hidden="1"/>
    </xf>
    <xf numFmtId="0" fontId="47" fillId="31" borderId="49" xfId="0" applyFont="1" applyFill="1" applyBorder="1" applyProtection="1">
      <alignment vertical="center"/>
      <protection hidden="1"/>
    </xf>
    <xf numFmtId="0" fontId="31" fillId="31" borderId="50" xfId="0" applyFont="1" applyFill="1" applyBorder="1" applyAlignment="1" applyProtection="1">
      <alignment horizontal="right" vertical="center"/>
      <protection hidden="1"/>
    </xf>
    <xf numFmtId="176" fontId="54" fillId="27" borderId="0" xfId="0" applyNumberFormat="1" applyFont="1" applyFill="1" applyAlignment="1" applyProtection="1">
      <alignment horizontal="right" vertical="center"/>
      <protection hidden="1"/>
    </xf>
    <xf numFmtId="182" fontId="54" fillId="27" borderId="0" xfId="0" applyNumberFormat="1" applyFont="1" applyFill="1" applyAlignment="1" applyProtection="1">
      <alignment horizontal="right" vertical="center"/>
      <protection hidden="1"/>
    </xf>
    <xf numFmtId="0" fontId="67" fillId="0" borderId="0" xfId="0" applyFont="1" applyProtection="1">
      <alignment vertical="center"/>
      <protection hidden="1"/>
    </xf>
    <xf numFmtId="0" fontId="2" fillId="0" borderId="0" xfId="0" applyFont="1" applyProtection="1">
      <alignment vertical="center"/>
      <protection hidden="1"/>
    </xf>
    <xf numFmtId="0" fontId="13" fillId="0" borderId="0" xfId="0" applyFont="1" applyAlignment="1" applyProtection="1">
      <protection hidden="1"/>
    </xf>
    <xf numFmtId="0" fontId="13" fillId="0" borderId="0" xfId="0" applyFont="1" applyAlignment="1"/>
    <xf numFmtId="0" fontId="27" fillId="0" borderId="0" xfId="0" applyFont="1">
      <alignment vertical="center"/>
    </xf>
    <xf numFmtId="0" fontId="3" fillId="0" borderId="0" xfId="0" applyFont="1" applyAlignment="1">
      <alignment vertical="center" shrinkToFit="1"/>
    </xf>
    <xf numFmtId="0" fontId="3" fillId="0" borderId="0" xfId="0" applyFont="1" applyAlignment="1">
      <alignment horizontal="center" vertical="center"/>
    </xf>
    <xf numFmtId="0" fontId="13" fillId="0" borderId="0" xfId="0" applyFont="1" applyAlignment="1">
      <alignment vertical="center" shrinkToFit="1"/>
    </xf>
    <xf numFmtId="0" fontId="13" fillId="0" borderId="0" xfId="0" applyFont="1" applyAlignment="1">
      <alignment horizontal="center" vertical="center"/>
    </xf>
    <xf numFmtId="179" fontId="10" fillId="25" borderId="46" xfId="0" applyNumberFormat="1" applyFont="1" applyFill="1" applyBorder="1" applyAlignment="1" applyProtection="1">
      <alignment horizontal="center" vertical="center"/>
      <protection hidden="1"/>
    </xf>
    <xf numFmtId="0" fontId="3" fillId="0" borderId="10" xfId="0" applyFont="1" applyBorder="1" applyProtection="1">
      <alignment vertical="center"/>
      <protection hidden="1"/>
    </xf>
    <xf numFmtId="0" fontId="85" fillId="24" borderId="21" xfId="0" applyFont="1" applyFill="1" applyBorder="1" applyProtection="1">
      <alignment vertical="center"/>
      <protection hidden="1"/>
    </xf>
    <xf numFmtId="179" fontId="3" fillId="24" borderId="0" xfId="0" applyNumberFormat="1" applyFont="1" applyFill="1" applyAlignment="1" applyProtection="1">
      <alignment vertical="center" wrapText="1"/>
      <protection hidden="1"/>
    </xf>
    <xf numFmtId="0" fontId="3" fillId="0" borderId="10" xfId="0" applyFont="1" applyBorder="1" applyAlignment="1" applyProtection="1">
      <alignment horizontal="center" vertical="center"/>
      <protection hidden="1"/>
    </xf>
    <xf numFmtId="0" fontId="39" fillId="24" borderId="0" xfId="0" applyFont="1" applyFill="1" applyProtection="1">
      <alignment vertical="center"/>
      <protection hidden="1"/>
    </xf>
    <xf numFmtId="0" fontId="39" fillId="24" borderId="0" xfId="0" applyFont="1" applyFill="1" applyAlignment="1" applyProtection="1">
      <alignment horizontal="left" vertical="center"/>
      <protection hidden="1"/>
    </xf>
    <xf numFmtId="0" fontId="40" fillId="24" borderId="0" xfId="0" applyFont="1" applyFill="1" applyAlignment="1" applyProtection="1">
      <alignment horizontal="left" vertical="center"/>
      <protection hidden="1"/>
    </xf>
    <xf numFmtId="0" fontId="39" fillId="24" borderId="0" xfId="0" applyFont="1" applyFill="1" applyAlignment="1" applyProtection="1">
      <alignment horizontal="right" vertical="center"/>
      <protection hidden="1"/>
    </xf>
    <xf numFmtId="14" fontId="37" fillId="24" borderId="0" xfId="0" applyNumberFormat="1" applyFont="1" applyFill="1" applyAlignment="1" applyProtection="1">
      <alignment horizontal="center" vertical="center"/>
      <protection hidden="1"/>
    </xf>
    <xf numFmtId="0" fontId="39" fillId="0" borderId="0" xfId="0" applyFont="1" applyProtection="1">
      <alignment vertical="center"/>
      <protection hidden="1"/>
    </xf>
    <xf numFmtId="0" fontId="64" fillId="0" borderId="76" xfId="0" applyFont="1" applyBorder="1" applyProtection="1">
      <alignment vertical="center"/>
      <protection hidden="1"/>
    </xf>
    <xf numFmtId="0" fontId="64" fillId="0" borderId="19" xfId="0" applyFont="1" applyBorder="1" applyProtection="1">
      <alignment vertical="center"/>
      <protection hidden="1"/>
    </xf>
    <xf numFmtId="0" fontId="64" fillId="0" borderId="23" xfId="0" applyFont="1" applyBorder="1" applyProtection="1">
      <alignment vertical="center"/>
      <protection hidden="1"/>
    </xf>
    <xf numFmtId="0" fontId="64" fillId="0" borderId="20" xfId="0" applyFont="1" applyBorder="1" applyProtection="1">
      <alignment vertical="center"/>
      <protection hidden="1"/>
    </xf>
    <xf numFmtId="0" fontId="64" fillId="0" borderId="10" xfId="0" applyFont="1" applyBorder="1" applyProtection="1">
      <alignment vertical="center"/>
      <protection hidden="1"/>
    </xf>
    <xf numFmtId="0" fontId="64" fillId="0" borderId="24" xfId="0" applyFont="1" applyBorder="1" applyProtection="1">
      <alignment vertical="center"/>
      <protection hidden="1"/>
    </xf>
    <xf numFmtId="0" fontId="64" fillId="24" borderId="23" xfId="0" applyFont="1" applyFill="1" applyBorder="1" applyProtection="1">
      <alignment vertical="center"/>
      <protection hidden="1"/>
    </xf>
    <xf numFmtId="176" fontId="37" fillId="0" borderId="10" xfId="0" applyNumberFormat="1" applyFont="1" applyBorder="1" applyProtection="1">
      <alignment vertical="center"/>
      <protection hidden="1"/>
    </xf>
    <xf numFmtId="176" fontId="64" fillId="0" borderId="0" xfId="0" applyNumberFormat="1" applyFont="1" applyProtection="1">
      <alignment vertical="center"/>
      <protection hidden="1"/>
    </xf>
    <xf numFmtId="198" fontId="37" fillId="0" borderId="0" xfId="0" applyNumberFormat="1" applyFont="1" applyProtection="1">
      <alignment vertical="center"/>
      <protection hidden="1"/>
    </xf>
    <xf numFmtId="0" fontId="44" fillId="0" borderId="0" xfId="0" applyFont="1" applyProtection="1">
      <alignment vertical="center"/>
      <protection hidden="1"/>
    </xf>
    <xf numFmtId="0" fontId="44" fillId="0" borderId="0" xfId="0" applyFont="1" applyAlignment="1" applyProtection="1">
      <alignment horizontal="center" vertical="center"/>
      <protection hidden="1"/>
    </xf>
    <xf numFmtId="0" fontId="48" fillId="0" borderId="0" xfId="0" applyFont="1" applyProtection="1">
      <alignment vertical="center"/>
      <protection hidden="1"/>
    </xf>
    <xf numFmtId="0" fontId="43" fillId="0" borderId="0" xfId="0" applyFont="1" applyAlignment="1" applyProtection="1">
      <alignment horizontal="left" vertical="center"/>
      <protection hidden="1"/>
    </xf>
    <xf numFmtId="0" fontId="43" fillId="0" borderId="0" xfId="0" applyFont="1" applyAlignment="1" applyProtection="1">
      <alignment horizontal="right" vertical="center"/>
      <protection hidden="1"/>
    </xf>
    <xf numFmtId="0" fontId="43" fillId="0" borderId="0" xfId="0" applyFont="1" applyProtection="1">
      <alignment vertical="center"/>
      <protection hidden="1"/>
    </xf>
    <xf numFmtId="0" fontId="64" fillId="0" borderId="0" xfId="0" applyFont="1" applyProtection="1">
      <alignment vertical="center"/>
      <protection locked="0"/>
    </xf>
    <xf numFmtId="0" fontId="64" fillId="0" borderId="20" xfId="0" applyFont="1" applyBorder="1" applyProtection="1">
      <alignment vertical="center"/>
      <protection locked="0"/>
    </xf>
    <xf numFmtId="3" fontId="50" fillId="24" borderId="0" xfId="0" applyNumberFormat="1" applyFont="1" applyFill="1" applyAlignment="1" applyProtection="1">
      <alignment horizontal="left" vertical="center"/>
      <protection locked="0"/>
    </xf>
    <xf numFmtId="0" fontId="65" fillId="0" borderId="0" xfId="0" applyFont="1" applyProtection="1">
      <alignment vertical="center"/>
      <protection hidden="1"/>
    </xf>
    <xf numFmtId="0" fontId="17" fillId="28" borderId="49" xfId="0" applyFont="1" applyFill="1" applyBorder="1" applyAlignment="1" applyProtection="1">
      <alignment horizontal="left" vertical="center"/>
      <protection hidden="1"/>
    </xf>
    <xf numFmtId="185" fontId="73" fillId="24" borderId="0" xfId="0" applyNumberFormat="1" applyFont="1" applyFill="1" applyAlignment="1" applyProtection="1">
      <alignment horizontal="center"/>
      <protection hidden="1"/>
    </xf>
    <xf numFmtId="0" fontId="3" fillId="0" borderId="48" xfId="0" applyFont="1" applyBorder="1" applyProtection="1">
      <alignment vertical="center"/>
      <protection hidden="1"/>
    </xf>
    <xf numFmtId="0" fontId="3" fillId="0" borderId="39" xfId="0" applyFont="1" applyBorder="1" applyProtection="1">
      <alignment vertical="center"/>
      <protection hidden="1"/>
    </xf>
    <xf numFmtId="0" fontId="65" fillId="0" borderId="10" xfId="0" applyFont="1" applyBorder="1" applyProtection="1">
      <alignment vertical="center"/>
      <protection hidden="1"/>
    </xf>
    <xf numFmtId="185" fontId="6" fillId="32" borderId="104" xfId="0" applyNumberFormat="1" applyFont="1" applyFill="1" applyBorder="1" applyAlignment="1" applyProtection="1">
      <alignment horizontal="left" vertical="center" wrapText="1"/>
      <protection hidden="1"/>
    </xf>
    <xf numFmtId="0" fontId="73" fillId="24" borderId="10" xfId="0" applyFont="1" applyFill="1" applyBorder="1" applyAlignment="1" applyProtection="1">
      <alignment horizontal="center" vertical="center" wrapText="1"/>
      <protection hidden="1"/>
    </xf>
    <xf numFmtId="0" fontId="73" fillId="32" borderId="10" xfId="0" applyFont="1" applyFill="1" applyBorder="1" applyAlignment="1" applyProtection="1">
      <alignment horizontal="center" vertical="center"/>
      <protection hidden="1"/>
    </xf>
    <xf numFmtId="0" fontId="73" fillId="0" borderId="10" xfId="0" applyFont="1" applyBorder="1" applyAlignment="1" applyProtection="1">
      <alignment horizontal="center" vertical="center"/>
      <protection hidden="1"/>
    </xf>
    <xf numFmtId="183" fontId="73" fillId="24" borderId="0" xfId="0" applyNumberFormat="1" applyFont="1" applyFill="1" applyAlignment="1" applyProtection="1">
      <alignment horizontal="center"/>
      <protection hidden="1"/>
    </xf>
    <xf numFmtId="183" fontId="25" fillId="25" borderId="105" xfId="0" applyNumberFormat="1" applyFont="1" applyFill="1" applyBorder="1" applyAlignment="1" applyProtection="1">
      <alignment horizontal="center" vertical="center"/>
      <protection hidden="1"/>
    </xf>
    <xf numFmtId="179" fontId="10" fillId="25" borderId="107" xfId="0" applyNumberFormat="1" applyFont="1" applyFill="1" applyBorder="1" applyAlignment="1" applyProtection="1">
      <alignment horizontal="center" vertical="center"/>
      <protection hidden="1"/>
    </xf>
    <xf numFmtId="0" fontId="41" fillId="0" borderId="0" xfId="0" applyFont="1">
      <alignment vertical="center"/>
    </xf>
    <xf numFmtId="178" fontId="10" fillId="0" borderId="0" xfId="0" applyNumberFormat="1" applyFont="1" applyAlignment="1" applyProtection="1">
      <alignment horizontal="center" vertical="center"/>
      <protection hidden="1"/>
    </xf>
    <xf numFmtId="0" fontId="97" fillId="24" borderId="0" xfId="0" applyFont="1" applyFill="1" applyProtection="1">
      <alignment vertical="center"/>
      <protection hidden="1"/>
    </xf>
    <xf numFmtId="192" fontId="10" fillId="25" borderId="21" xfId="0" applyNumberFormat="1" applyFont="1" applyFill="1" applyBorder="1" applyAlignment="1" applyProtection="1">
      <alignment horizontal="center" vertical="center" wrapText="1"/>
      <protection hidden="1"/>
    </xf>
    <xf numFmtId="194" fontId="82" fillId="25" borderId="80" xfId="0" applyNumberFormat="1" applyFont="1" applyFill="1" applyBorder="1" applyAlignment="1" applyProtection="1">
      <alignment horizontal="center" vertical="center"/>
      <protection hidden="1"/>
    </xf>
    <xf numFmtId="2" fontId="73" fillId="24" borderId="10" xfId="0" applyNumberFormat="1" applyFont="1" applyFill="1" applyBorder="1" applyAlignment="1" applyProtection="1">
      <alignment horizontal="center" vertical="center" wrapText="1"/>
      <protection hidden="1"/>
    </xf>
    <xf numFmtId="0" fontId="3" fillId="25" borderId="96" xfId="0" applyFont="1" applyFill="1" applyBorder="1" applyProtection="1">
      <alignment vertical="center"/>
      <protection hidden="1"/>
    </xf>
    <xf numFmtId="0" fontId="5" fillId="25" borderId="48" xfId="0" quotePrefix="1" applyFont="1" applyFill="1" applyBorder="1" applyProtection="1">
      <alignment vertical="center"/>
      <protection hidden="1"/>
    </xf>
    <xf numFmtId="179" fontId="3" fillId="25" borderId="108" xfId="0" applyNumberFormat="1" applyFont="1" applyFill="1" applyBorder="1" applyAlignment="1" applyProtection="1">
      <alignment horizontal="center" vertical="center"/>
      <protection hidden="1"/>
    </xf>
    <xf numFmtId="179" fontId="3" fillId="25" borderId="67" xfId="0" applyNumberFormat="1" applyFont="1" applyFill="1" applyBorder="1" applyAlignment="1" applyProtection="1">
      <alignment horizontal="center" vertical="center"/>
      <protection hidden="1"/>
    </xf>
    <xf numFmtId="38" fontId="10" fillId="0" borderId="0" xfId="35" applyFont="1" applyFill="1" applyBorder="1" applyAlignment="1" applyProtection="1">
      <alignment horizontal="center" vertical="center"/>
      <protection hidden="1"/>
    </xf>
    <xf numFmtId="178" fontId="10" fillId="0" borderId="0" xfId="0" quotePrefix="1" applyNumberFormat="1" applyFont="1" applyAlignment="1" applyProtection="1">
      <alignment horizontal="center" vertical="center"/>
      <protection hidden="1"/>
    </xf>
    <xf numFmtId="38" fontId="3" fillId="0" borderId="0" xfId="35" applyFont="1" applyFill="1" applyBorder="1" applyAlignment="1" applyProtection="1">
      <alignment horizontal="center" vertical="center"/>
      <protection hidden="1"/>
    </xf>
    <xf numFmtId="179" fontId="27" fillId="25" borderId="14" xfId="0" applyNumberFormat="1" applyFont="1" applyFill="1" applyBorder="1" applyAlignment="1" applyProtection="1">
      <alignment horizontal="center" vertical="center"/>
      <protection hidden="1"/>
    </xf>
    <xf numFmtId="179" fontId="27" fillId="25" borderId="13" xfId="0" applyNumberFormat="1" applyFont="1" applyFill="1" applyBorder="1" applyAlignment="1" applyProtection="1">
      <alignment horizontal="center" vertical="center"/>
      <protection hidden="1"/>
    </xf>
    <xf numFmtId="176" fontId="37" fillId="0" borderId="10" xfId="0" applyNumberFormat="1" applyFont="1" applyBorder="1" applyAlignment="1" applyProtection="1">
      <protection hidden="1"/>
    </xf>
    <xf numFmtId="0" fontId="65" fillId="0" borderId="10" xfId="0" applyFont="1" applyBorder="1" applyAlignment="1" applyProtection="1">
      <alignment horizontal="center" vertical="center"/>
      <protection hidden="1"/>
    </xf>
    <xf numFmtId="0" fontId="5" fillId="25" borderId="109" xfId="0" quotePrefix="1" applyFont="1" applyFill="1" applyBorder="1" applyProtection="1">
      <alignment vertical="center"/>
      <protection hidden="1"/>
    </xf>
    <xf numFmtId="0" fontId="11" fillId="25" borderId="79" xfId="0" applyFont="1" applyFill="1" applyBorder="1" applyProtection="1">
      <alignment vertical="center"/>
      <protection hidden="1"/>
    </xf>
    <xf numFmtId="189" fontId="10" fillId="24" borderId="10" xfId="0" applyNumberFormat="1" applyFont="1" applyFill="1" applyBorder="1" applyAlignment="1" applyProtection="1">
      <alignment horizontal="center" vertical="justify"/>
      <protection hidden="1"/>
    </xf>
    <xf numFmtId="0" fontId="10" fillId="0" borderId="0" xfId="0" applyFont="1" applyAlignment="1" applyProtection="1">
      <alignment horizontal="center" vertical="justify"/>
      <protection hidden="1"/>
    </xf>
    <xf numFmtId="191" fontId="33" fillId="25" borderId="39" xfId="0" applyNumberFormat="1" applyFont="1" applyFill="1" applyBorder="1" applyAlignment="1" applyProtection="1">
      <alignment horizontal="center" vertical="center" wrapText="1"/>
      <protection hidden="1"/>
    </xf>
    <xf numFmtId="0" fontId="3" fillId="25" borderId="48" xfId="0" applyFont="1" applyFill="1" applyBorder="1" applyAlignment="1" applyProtection="1">
      <alignment horizontal="center" vertical="center"/>
      <protection hidden="1"/>
    </xf>
    <xf numFmtId="0" fontId="3" fillId="25" borderId="17" xfId="0" applyFont="1" applyFill="1" applyBorder="1" applyAlignment="1" applyProtection="1">
      <alignment horizontal="center" vertical="center"/>
      <protection hidden="1"/>
    </xf>
    <xf numFmtId="0" fontId="3" fillId="25" borderId="110" xfId="0" applyFont="1" applyFill="1" applyBorder="1" applyAlignment="1" applyProtection="1">
      <alignment horizontal="left" vertical="center" wrapText="1"/>
      <protection hidden="1"/>
    </xf>
    <xf numFmtId="0" fontId="3" fillId="25" borderId="47" xfId="0" applyFont="1" applyFill="1" applyBorder="1" applyAlignment="1" applyProtection="1">
      <alignment horizontal="left" vertical="center" wrapText="1"/>
      <protection hidden="1"/>
    </xf>
    <xf numFmtId="0" fontId="3" fillId="25" borderId="66" xfId="0" applyFont="1" applyFill="1" applyBorder="1" applyAlignment="1" applyProtection="1">
      <alignment horizontal="center" vertical="center"/>
      <protection hidden="1"/>
    </xf>
    <xf numFmtId="0" fontId="3" fillId="25" borderId="67" xfId="0" applyFont="1" applyFill="1" applyBorder="1" applyAlignment="1" applyProtection="1">
      <alignment horizontal="center" vertical="center"/>
      <protection hidden="1"/>
    </xf>
    <xf numFmtId="0" fontId="3" fillId="25" borderId="108" xfId="0" applyFont="1" applyFill="1" applyBorder="1" applyAlignment="1" applyProtection="1">
      <alignment horizontal="left" vertical="center" wrapText="1"/>
      <protection hidden="1"/>
    </xf>
    <xf numFmtId="0" fontId="3" fillId="25" borderId="45" xfId="0" applyFont="1" applyFill="1" applyBorder="1" applyAlignment="1" applyProtection="1">
      <alignment horizontal="left" vertical="center" wrapText="1"/>
      <protection hidden="1"/>
    </xf>
    <xf numFmtId="191" fontId="33" fillId="25" borderId="21" xfId="0" applyNumberFormat="1" applyFont="1" applyFill="1" applyBorder="1" applyAlignment="1" applyProtection="1">
      <alignment horizontal="center" vertical="center" wrapText="1"/>
      <protection hidden="1"/>
    </xf>
    <xf numFmtId="0" fontId="41" fillId="0" borderId="0" xfId="0" applyFont="1" applyAlignment="1" applyProtection="1">
      <alignment horizontal="center" vertical="center"/>
      <protection hidden="1"/>
    </xf>
    <xf numFmtId="0" fontId="47" fillId="0" borderId="67" xfId="0" applyFont="1" applyBorder="1" applyAlignment="1">
      <alignment horizontal="left" vertical="top" wrapText="1"/>
    </xf>
    <xf numFmtId="0" fontId="63" fillId="0" borderId="0" xfId="0" applyFont="1" applyProtection="1">
      <alignment vertical="center"/>
      <protection hidden="1"/>
    </xf>
    <xf numFmtId="0" fontId="3" fillId="25" borderId="111" xfId="0" applyFont="1" applyFill="1" applyBorder="1" applyAlignment="1" applyProtection="1">
      <alignment horizontal="left" vertical="center" wrapText="1"/>
      <protection hidden="1"/>
    </xf>
    <xf numFmtId="0" fontId="3" fillId="25" borderId="112" xfId="0" applyFont="1" applyFill="1" applyBorder="1" applyAlignment="1" applyProtection="1">
      <alignment horizontal="left" vertical="center" wrapText="1"/>
      <protection hidden="1"/>
    </xf>
    <xf numFmtId="0" fontId="3" fillId="25" borderId="15" xfId="0" applyFont="1" applyFill="1" applyBorder="1" applyAlignment="1" applyProtection="1">
      <alignment horizontal="left" vertical="center"/>
      <protection hidden="1"/>
    </xf>
    <xf numFmtId="0" fontId="3" fillId="25" borderId="44" xfId="0" applyFont="1" applyFill="1" applyBorder="1" applyAlignment="1" applyProtection="1">
      <alignment horizontal="left" vertical="center"/>
      <protection hidden="1"/>
    </xf>
    <xf numFmtId="0" fontId="3" fillId="25" borderId="46" xfId="0" applyFont="1" applyFill="1" applyBorder="1" applyAlignment="1" applyProtection="1">
      <alignment horizontal="left" vertical="center"/>
      <protection hidden="1"/>
    </xf>
    <xf numFmtId="0" fontId="10" fillId="0" borderId="0" xfId="0" applyFont="1" applyProtection="1">
      <alignment vertical="center"/>
      <protection hidden="1"/>
    </xf>
    <xf numFmtId="0" fontId="33" fillId="24" borderId="0" xfId="0" applyFont="1" applyFill="1" applyAlignment="1" applyProtection="1">
      <alignment horizontal="center" vertical="center"/>
      <protection hidden="1"/>
    </xf>
    <xf numFmtId="0" fontId="3" fillId="25" borderId="51" xfId="0" applyFont="1" applyFill="1" applyBorder="1" applyProtection="1">
      <alignment vertical="center"/>
      <protection hidden="1"/>
    </xf>
    <xf numFmtId="0" fontId="3" fillId="25" borderId="21" xfId="0" applyFont="1" applyFill="1" applyBorder="1" applyProtection="1">
      <alignment vertical="center"/>
      <protection hidden="1"/>
    </xf>
    <xf numFmtId="0" fontId="3" fillId="25" borderId="43" xfId="0" applyFont="1" applyFill="1" applyBorder="1" applyAlignment="1" applyProtection="1">
      <alignment vertical="center" wrapText="1"/>
      <protection hidden="1"/>
    </xf>
    <xf numFmtId="0" fontId="3" fillId="25" borderId="43" xfId="0" applyFont="1" applyFill="1" applyBorder="1" applyProtection="1">
      <alignment vertical="center"/>
      <protection hidden="1"/>
    </xf>
    <xf numFmtId="0" fontId="3" fillId="25" borderId="39" xfId="0" applyFont="1" applyFill="1" applyBorder="1" applyAlignment="1" applyProtection="1">
      <alignment horizontal="centerContinuous" vertical="center"/>
      <protection hidden="1"/>
    </xf>
    <xf numFmtId="0" fontId="3" fillId="25" borderId="17" xfId="0" applyFont="1" applyFill="1" applyBorder="1" applyAlignment="1" applyProtection="1">
      <alignment horizontal="centerContinuous" vertical="center"/>
      <protection hidden="1"/>
    </xf>
    <xf numFmtId="0" fontId="5" fillId="26" borderId="113" xfId="0" applyFont="1" applyFill="1" applyBorder="1" applyAlignment="1" applyProtection="1">
      <alignment horizontal="center" vertical="center"/>
      <protection locked="0" hidden="1"/>
    </xf>
    <xf numFmtId="0" fontId="3" fillId="25" borderId="108" xfId="0" applyFont="1" applyFill="1" applyBorder="1" applyProtection="1">
      <alignment vertical="center"/>
      <protection hidden="1"/>
    </xf>
    <xf numFmtId="0" fontId="3" fillId="25" borderId="44" xfId="0" applyFont="1" applyFill="1" applyBorder="1" applyProtection="1">
      <alignment vertical="center"/>
      <protection hidden="1"/>
    </xf>
    <xf numFmtId="0" fontId="3" fillId="25" borderId="15" xfId="0" applyFont="1" applyFill="1" applyBorder="1" applyProtection="1">
      <alignment vertical="center"/>
      <protection hidden="1"/>
    </xf>
    <xf numFmtId="0" fontId="3" fillId="25" borderId="111" xfId="0" applyFont="1" applyFill="1" applyBorder="1" applyProtection="1">
      <alignment vertical="center"/>
      <protection hidden="1"/>
    </xf>
    <xf numFmtId="0" fontId="3" fillId="25" borderId="45" xfId="0" applyFont="1" applyFill="1" applyBorder="1" applyProtection="1">
      <alignment vertical="center"/>
      <protection hidden="1"/>
    </xf>
    <xf numFmtId="0" fontId="3" fillId="25" borderId="112" xfId="0" applyFont="1" applyFill="1" applyBorder="1" applyProtection="1">
      <alignment vertical="center"/>
      <protection hidden="1"/>
    </xf>
    <xf numFmtId="192" fontId="10" fillId="25" borderId="51" xfId="0" applyNumberFormat="1" applyFont="1" applyFill="1" applyBorder="1" applyAlignment="1" applyProtection="1">
      <alignment horizontal="center" vertical="center" wrapText="1"/>
      <protection hidden="1"/>
    </xf>
    <xf numFmtId="0" fontId="3" fillId="25" borderId="42" xfId="0" applyFont="1" applyFill="1" applyBorder="1" applyProtection="1">
      <alignment vertical="center"/>
      <protection hidden="1"/>
    </xf>
    <xf numFmtId="0" fontId="3" fillId="25" borderId="18" xfId="0" applyFont="1" applyFill="1" applyBorder="1" applyProtection="1">
      <alignment vertical="center"/>
      <protection hidden="1"/>
    </xf>
    <xf numFmtId="0" fontId="3" fillId="25" borderId="110" xfId="0" applyFont="1" applyFill="1" applyBorder="1" applyProtection="1">
      <alignment vertical="center"/>
      <protection hidden="1"/>
    </xf>
    <xf numFmtId="0" fontId="3" fillId="25" borderId="69" xfId="0" applyFont="1" applyFill="1" applyBorder="1" applyProtection="1">
      <alignment vertical="center"/>
      <protection hidden="1"/>
    </xf>
    <xf numFmtId="0" fontId="3" fillId="25" borderId="66" xfId="0" applyFont="1" applyFill="1" applyBorder="1" applyAlignment="1" applyProtection="1">
      <alignment horizontal="centerContinuous" vertical="center"/>
      <protection hidden="1"/>
    </xf>
    <xf numFmtId="0" fontId="3" fillId="25" borderId="67" xfId="0" applyFont="1" applyFill="1" applyBorder="1" applyAlignment="1" applyProtection="1">
      <alignment horizontal="centerContinuous" vertical="center"/>
      <protection hidden="1"/>
    </xf>
    <xf numFmtId="0" fontId="3" fillId="25" borderId="94" xfId="0" applyFont="1" applyFill="1" applyBorder="1" applyAlignment="1" applyProtection="1">
      <alignment horizontal="centerContinuous" vertical="center"/>
      <protection hidden="1"/>
    </xf>
    <xf numFmtId="0" fontId="3" fillId="25" borderId="108" xfId="0" applyFont="1" applyFill="1" applyBorder="1" applyAlignment="1" applyProtection="1">
      <alignment horizontal="center" vertical="center"/>
      <protection hidden="1"/>
    </xf>
    <xf numFmtId="0" fontId="3" fillId="25" borderId="114" xfId="0" applyFont="1" applyFill="1" applyBorder="1" applyAlignment="1" applyProtection="1">
      <alignment horizontal="center" vertical="center"/>
      <protection hidden="1"/>
    </xf>
    <xf numFmtId="0" fontId="3" fillId="25" borderId="110" xfId="0" applyFont="1" applyFill="1" applyBorder="1" applyAlignment="1" applyProtection="1">
      <alignment horizontal="center" vertical="center"/>
      <protection hidden="1"/>
    </xf>
    <xf numFmtId="191" fontId="33" fillId="25" borderId="39" xfId="0" applyNumberFormat="1" applyFont="1" applyFill="1" applyBorder="1" applyAlignment="1" applyProtection="1">
      <alignment horizontal="center" vertical="center"/>
      <protection hidden="1"/>
    </xf>
    <xf numFmtId="192" fontId="10" fillId="25" borderId="39" xfId="0" applyNumberFormat="1" applyFont="1" applyFill="1" applyBorder="1" applyAlignment="1" applyProtection="1">
      <alignment horizontal="center" vertical="center"/>
      <protection hidden="1"/>
    </xf>
    <xf numFmtId="177" fontId="10" fillId="25" borderId="39" xfId="0" applyNumberFormat="1" applyFont="1" applyFill="1" applyBorder="1" applyAlignment="1" applyProtection="1">
      <alignment horizontal="center" vertical="center"/>
      <protection hidden="1"/>
    </xf>
    <xf numFmtId="177" fontId="10" fillId="25" borderId="17" xfId="0" applyNumberFormat="1" applyFont="1" applyFill="1" applyBorder="1" applyAlignment="1" applyProtection="1">
      <alignment horizontal="center" vertical="center"/>
      <protection hidden="1"/>
    </xf>
    <xf numFmtId="0" fontId="3" fillId="25" borderId="44" xfId="0" applyFont="1" applyFill="1" applyBorder="1" applyAlignment="1" applyProtection="1">
      <alignment horizontal="center" vertical="center"/>
      <protection hidden="1"/>
    </xf>
    <xf numFmtId="0" fontId="3" fillId="25" borderId="46" xfId="0" applyFont="1" applyFill="1" applyBorder="1" applyAlignment="1" applyProtection="1">
      <alignment horizontal="center" vertical="center"/>
      <protection hidden="1"/>
    </xf>
    <xf numFmtId="0" fontId="3" fillId="25" borderId="46" xfId="0" applyFont="1" applyFill="1" applyBorder="1" applyProtection="1">
      <alignment vertical="center"/>
      <protection hidden="1"/>
    </xf>
    <xf numFmtId="0" fontId="74" fillId="24" borderId="0" xfId="0" applyFont="1" applyFill="1" applyAlignment="1" applyProtection="1">
      <alignment horizontal="right" vertical="center"/>
      <protection hidden="1"/>
    </xf>
    <xf numFmtId="0" fontId="41" fillId="24" borderId="0" xfId="0" applyFont="1" applyFill="1" applyAlignment="1" applyProtection="1">
      <alignment horizontal="right" vertical="center"/>
      <protection hidden="1"/>
    </xf>
    <xf numFmtId="0" fontId="41" fillId="0" borderId="0" xfId="0" applyFont="1" applyAlignment="1">
      <alignment horizontal="right" vertical="center"/>
    </xf>
    <xf numFmtId="0" fontId="74" fillId="0" borderId="0" xfId="0" applyFont="1" applyAlignment="1">
      <alignment horizontal="right" vertical="center"/>
    </xf>
    <xf numFmtId="0" fontId="41" fillId="24" borderId="0" xfId="0" applyFont="1" applyFill="1" applyAlignment="1">
      <alignment horizontal="right" vertical="center"/>
    </xf>
    <xf numFmtId="0" fontId="5" fillId="26" borderId="85" xfId="0" applyFont="1" applyFill="1" applyBorder="1" applyAlignment="1" applyProtection="1">
      <alignment horizontal="center" vertical="center"/>
      <protection locked="0" hidden="1"/>
    </xf>
    <xf numFmtId="38" fontId="67" fillId="0" borderId="0" xfId="0" applyNumberFormat="1" applyFont="1">
      <alignment vertical="center"/>
    </xf>
    <xf numFmtId="0" fontId="3" fillId="25" borderId="18" xfId="0" applyFont="1" applyFill="1" applyBorder="1" applyAlignment="1" applyProtection="1">
      <alignment vertical="center" wrapText="1"/>
      <protection hidden="1"/>
    </xf>
    <xf numFmtId="0" fontId="3" fillId="25" borderId="40" xfId="0" applyFont="1" applyFill="1" applyBorder="1" applyAlignment="1" applyProtection="1">
      <alignment horizontal="center" vertical="center"/>
      <protection hidden="1"/>
    </xf>
    <xf numFmtId="0" fontId="3" fillId="25" borderId="115" xfId="0" applyFont="1" applyFill="1" applyBorder="1" applyAlignment="1" applyProtection="1">
      <alignment horizontal="center" vertical="center"/>
      <protection hidden="1"/>
    </xf>
    <xf numFmtId="0" fontId="3" fillId="25" borderId="13" xfId="0" applyFont="1" applyFill="1" applyBorder="1" applyAlignment="1" applyProtection="1">
      <alignment horizontal="center" vertical="center"/>
      <protection hidden="1"/>
    </xf>
    <xf numFmtId="0" fontId="10" fillId="25" borderId="10" xfId="0" applyFont="1" applyFill="1" applyBorder="1" applyAlignment="1" applyProtection="1">
      <alignment horizontal="center" vertical="center"/>
      <protection hidden="1"/>
    </xf>
    <xf numFmtId="0" fontId="3" fillId="0" borderId="10" xfId="0" applyFont="1" applyBorder="1">
      <alignment vertical="center"/>
    </xf>
    <xf numFmtId="0" fontId="3" fillId="25" borderId="111" xfId="0" applyFont="1" applyFill="1" applyBorder="1" applyAlignment="1" applyProtection="1">
      <alignment horizontal="left" vertical="center"/>
      <protection hidden="1"/>
    </xf>
    <xf numFmtId="0" fontId="3" fillId="25" borderId="112" xfId="0" applyFont="1" applyFill="1" applyBorder="1" applyAlignment="1" applyProtection="1">
      <alignment horizontal="left" vertical="center"/>
      <protection hidden="1"/>
    </xf>
    <xf numFmtId="0" fontId="3" fillId="25" borderId="108" xfId="0" applyFont="1" applyFill="1" applyBorder="1" applyAlignment="1" applyProtection="1">
      <alignment horizontal="left" vertical="center"/>
      <protection hidden="1"/>
    </xf>
    <xf numFmtId="0" fontId="3" fillId="25" borderId="45" xfId="0" applyFont="1" applyFill="1" applyBorder="1" applyAlignment="1" applyProtection="1">
      <alignment horizontal="left" vertical="center"/>
      <protection hidden="1"/>
    </xf>
    <xf numFmtId="38" fontId="67" fillId="0" borderId="10" xfId="0" applyNumberFormat="1" applyFont="1" applyBorder="1" applyAlignment="1">
      <alignment horizontal="center" vertical="center"/>
    </xf>
    <xf numFmtId="0" fontId="67" fillId="25" borderId="108" xfId="0" applyFont="1" applyFill="1" applyBorder="1">
      <alignment vertical="center"/>
    </xf>
    <xf numFmtId="0" fontId="67" fillId="25" borderId="45" xfId="0" applyFont="1" applyFill="1" applyBorder="1">
      <alignment vertical="center"/>
    </xf>
    <xf numFmtId="0" fontId="67" fillId="25" borderId="110" xfId="0" applyFont="1" applyFill="1" applyBorder="1">
      <alignment vertical="center"/>
    </xf>
    <xf numFmtId="0" fontId="67" fillId="25" borderId="47" xfId="0" applyFont="1" applyFill="1" applyBorder="1">
      <alignment vertical="center"/>
    </xf>
    <xf numFmtId="0" fontId="3" fillId="25" borderId="42" xfId="0" applyFont="1" applyFill="1" applyBorder="1" applyAlignment="1" applyProtection="1">
      <alignment horizontal="left" vertical="center"/>
      <protection hidden="1"/>
    </xf>
    <xf numFmtId="0" fontId="3" fillId="25" borderId="69" xfId="0" applyFont="1" applyFill="1" applyBorder="1" applyAlignment="1" applyProtection="1">
      <alignment horizontal="center" vertical="center"/>
      <protection hidden="1"/>
    </xf>
    <xf numFmtId="0" fontId="41" fillId="0" borderId="0" xfId="0" applyFont="1" applyAlignment="1" applyProtection="1">
      <alignment horizontal="left" vertical="center"/>
      <protection hidden="1"/>
    </xf>
    <xf numFmtId="0" fontId="33" fillId="0" borderId="0" xfId="0" applyFont="1" applyAlignment="1" applyProtection="1">
      <alignment horizontal="left" vertical="center"/>
      <protection hidden="1"/>
    </xf>
    <xf numFmtId="0" fontId="38" fillId="24" borderId="0" xfId="0" applyFont="1" applyFill="1" applyAlignment="1" applyProtection="1">
      <alignment vertical="center" wrapText="1"/>
      <protection hidden="1"/>
    </xf>
    <xf numFmtId="0" fontId="27" fillId="0" borderId="0" xfId="0" applyFont="1" applyAlignment="1">
      <alignment horizontal="left" vertical="center"/>
    </xf>
    <xf numFmtId="0" fontId="67" fillId="25" borderId="108" xfId="0" applyFont="1" applyFill="1" applyBorder="1" applyAlignment="1">
      <alignment horizontal="left" vertical="center"/>
    </xf>
    <xf numFmtId="0" fontId="3" fillId="0" borderId="0" xfId="0" applyFont="1" applyAlignment="1">
      <alignment vertical="top"/>
    </xf>
    <xf numFmtId="0" fontId="38" fillId="24" borderId="0" xfId="0" applyFont="1" applyFill="1" applyAlignment="1" applyProtection="1">
      <alignment horizontal="left" vertical="center"/>
      <protection hidden="1"/>
    </xf>
    <xf numFmtId="0" fontId="10" fillId="24" borderId="0" xfId="0" applyFont="1" applyFill="1" applyAlignment="1" applyProtection="1">
      <alignment horizontal="left" vertical="center"/>
      <protection hidden="1"/>
    </xf>
    <xf numFmtId="179" fontId="10" fillId="24" borderId="0" xfId="0" applyNumberFormat="1" applyFont="1" applyFill="1" applyAlignment="1" applyProtection="1">
      <alignment vertical="center" wrapText="1"/>
      <protection hidden="1"/>
    </xf>
    <xf numFmtId="0" fontId="10" fillId="0" borderId="0" xfId="0" applyFont="1">
      <alignment vertical="center"/>
    </xf>
    <xf numFmtId="0" fontId="3" fillId="25" borderId="43" xfId="0" applyFont="1" applyFill="1" applyBorder="1" applyAlignment="1" applyProtection="1">
      <alignment horizontal="left" vertical="center"/>
      <protection hidden="1"/>
    </xf>
    <xf numFmtId="179" fontId="33" fillId="24" borderId="0" xfId="0" applyNumberFormat="1" applyFont="1" applyFill="1" applyProtection="1">
      <alignment vertical="center"/>
      <protection hidden="1"/>
    </xf>
    <xf numFmtId="179" fontId="38" fillId="24" borderId="0" xfId="0" applyNumberFormat="1" applyFont="1" applyFill="1" applyAlignment="1" applyProtection="1">
      <alignment horizontal="center" vertical="center"/>
      <protection hidden="1"/>
    </xf>
    <xf numFmtId="38" fontId="67" fillId="0" borderId="0" xfId="0" applyNumberFormat="1" applyFont="1" applyAlignment="1">
      <alignment horizontal="center" vertical="center"/>
    </xf>
    <xf numFmtId="0" fontId="39" fillId="0" borderId="0" xfId="0" applyFont="1">
      <alignment vertical="center"/>
    </xf>
    <xf numFmtId="0" fontId="41" fillId="0" borderId="0" xfId="0" applyFont="1" applyAlignment="1">
      <alignment horizontal="left" vertical="center"/>
    </xf>
    <xf numFmtId="0" fontId="38" fillId="0" borderId="0" xfId="0" applyFont="1" applyAlignment="1" applyProtection="1">
      <alignment vertical="center" wrapText="1"/>
      <protection hidden="1"/>
    </xf>
    <xf numFmtId="0" fontId="3" fillId="0" borderId="0" xfId="0" applyFont="1" applyAlignment="1">
      <alignment vertical="center" wrapText="1"/>
    </xf>
    <xf numFmtId="179" fontId="3" fillId="26" borderId="67" xfId="0" applyNumberFormat="1" applyFont="1" applyFill="1" applyBorder="1" applyAlignment="1" applyProtection="1">
      <alignment horizontal="centerContinuous" vertical="center"/>
      <protection hidden="1"/>
    </xf>
    <xf numFmtId="179" fontId="3" fillId="26" borderId="94" xfId="0" applyNumberFormat="1" applyFont="1" applyFill="1" applyBorder="1" applyAlignment="1" applyProtection="1">
      <alignment horizontal="centerContinuous" vertical="center"/>
      <protection hidden="1"/>
    </xf>
    <xf numFmtId="0" fontId="10" fillId="26" borderId="0" xfId="0" applyFont="1" applyFill="1">
      <alignment vertical="center"/>
    </xf>
    <xf numFmtId="0" fontId="5" fillId="0" borderId="0" xfId="0" applyFont="1">
      <alignment vertical="center"/>
    </xf>
    <xf numFmtId="0" fontId="10" fillId="26" borderId="48" xfId="0" applyFont="1" applyFill="1" applyBorder="1">
      <alignment vertical="center"/>
    </xf>
    <xf numFmtId="0" fontId="33" fillId="24" borderId="0" xfId="0" applyFont="1" applyFill="1" applyAlignment="1" applyProtection="1">
      <alignment horizontal="right" vertical="center"/>
      <protection hidden="1"/>
    </xf>
    <xf numFmtId="179" fontId="3" fillId="25" borderId="42" xfId="0" applyNumberFormat="1" applyFont="1" applyFill="1" applyBorder="1" applyProtection="1">
      <alignment vertical="center"/>
      <protection hidden="1"/>
    </xf>
    <xf numFmtId="0" fontId="3" fillId="25" borderId="104" xfId="0" applyFont="1" applyFill="1" applyBorder="1" applyAlignment="1" applyProtection="1">
      <alignment horizontal="center" vertical="center"/>
      <protection hidden="1"/>
    </xf>
    <xf numFmtId="0" fontId="3" fillId="25" borderId="69" xfId="0" applyFont="1" applyFill="1" applyBorder="1" applyAlignment="1" applyProtection="1">
      <alignment horizontal="centerContinuous" vertical="center"/>
      <protection hidden="1"/>
    </xf>
    <xf numFmtId="0" fontId="3" fillId="25" borderId="21" xfId="0" applyFont="1" applyFill="1" applyBorder="1" applyAlignment="1" applyProtection="1">
      <alignment horizontal="centerContinuous" vertical="center"/>
      <protection hidden="1"/>
    </xf>
    <xf numFmtId="0" fontId="3" fillId="25" borderId="51" xfId="0" applyFont="1" applyFill="1" applyBorder="1" applyAlignment="1" applyProtection="1">
      <alignment horizontal="centerContinuous" vertical="center"/>
      <protection hidden="1"/>
    </xf>
    <xf numFmtId="38" fontId="67" fillId="0" borderId="10" xfId="35" applyFont="1" applyFill="1" applyBorder="1" applyAlignment="1" applyProtection="1">
      <alignment horizontal="center" vertical="center"/>
    </xf>
    <xf numFmtId="38" fontId="3" fillId="0" borderId="10" xfId="35" applyFont="1" applyFill="1" applyBorder="1" applyAlignment="1" applyProtection="1">
      <alignment horizontal="center" vertical="center"/>
    </xf>
    <xf numFmtId="0" fontId="3" fillId="25" borderId="116" xfId="0" applyFont="1" applyFill="1" applyBorder="1" applyAlignment="1" applyProtection="1">
      <alignment horizontal="center" vertical="center" wrapText="1"/>
      <protection hidden="1"/>
    </xf>
    <xf numFmtId="188" fontId="10" fillId="0" borderId="10" xfId="0" applyNumberFormat="1" applyFont="1" applyBorder="1" applyAlignment="1" applyProtection="1">
      <alignment horizontal="center" vertical="justify"/>
      <protection hidden="1"/>
    </xf>
    <xf numFmtId="188" fontId="82" fillId="0" borderId="10" xfId="0" applyNumberFormat="1" applyFont="1" applyBorder="1" applyAlignment="1" applyProtection="1">
      <alignment horizontal="center" vertical="center"/>
      <protection hidden="1"/>
    </xf>
    <xf numFmtId="188" fontId="72" fillId="0" borderId="10" xfId="0" applyNumberFormat="1" applyFont="1" applyBorder="1" applyAlignment="1" applyProtection="1">
      <alignment horizontal="center" vertical="center"/>
      <protection hidden="1"/>
    </xf>
    <xf numFmtId="188" fontId="72" fillId="0" borderId="17" xfId="0" applyNumberFormat="1" applyFont="1" applyBorder="1" applyAlignment="1" applyProtection="1">
      <alignment horizontal="center" vertical="center"/>
      <protection hidden="1"/>
    </xf>
    <xf numFmtId="0" fontId="5" fillId="25" borderId="117" xfId="0" applyFont="1" applyFill="1" applyBorder="1" applyProtection="1">
      <alignment vertical="center"/>
      <protection hidden="1"/>
    </xf>
    <xf numFmtId="0" fontId="13" fillId="25" borderId="70" xfId="0" applyFont="1" applyFill="1" applyBorder="1" applyAlignment="1" applyProtection="1">
      <alignment horizontal="left" vertical="center"/>
      <protection hidden="1"/>
    </xf>
    <xf numFmtId="0" fontId="27" fillId="25" borderId="98" xfId="0" applyFont="1" applyFill="1" applyBorder="1" applyAlignment="1" applyProtection="1">
      <alignment horizontal="center"/>
      <protection hidden="1"/>
    </xf>
    <xf numFmtId="0" fontId="5" fillId="25" borderId="104" xfId="0" applyFont="1" applyFill="1" applyBorder="1" applyProtection="1">
      <alignment vertical="center"/>
      <protection hidden="1"/>
    </xf>
    <xf numFmtId="0" fontId="5" fillId="25" borderId="48" xfId="29" quotePrefix="1" applyNumberFormat="1" applyFont="1" applyFill="1" applyBorder="1" applyAlignment="1" applyProtection="1">
      <alignment vertical="center"/>
      <protection hidden="1"/>
    </xf>
    <xf numFmtId="0" fontId="27" fillId="25" borderId="98" xfId="0" quotePrefix="1" applyFont="1" applyFill="1" applyBorder="1" applyAlignment="1" applyProtection="1">
      <alignment horizontal="center" vertical="center"/>
      <protection hidden="1"/>
    </xf>
    <xf numFmtId="0" fontId="27" fillId="25" borderId="117" xfId="0" applyFont="1" applyFill="1" applyBorder="1" applyAlignment="1" applyProtection="1">
      <alignment horizontal="center"/>
      <protection hidden="1"/>
    </xf>
    <xf numFmtId="0" fontId="5" fillId="25" borderId="116" xfId="0" applyFont="1" applyFill="1" applyBorder="1" applyProtection="1">
      <alignment vertical="center"/>
      <protection hidden="1"/>
    </xf>
    <xf numFmtId="0" fontId="27" fillId="25" borderId="118" xfId="0" quotePrefix="1" applyFont="1" applyFill="1" applyBorder="1" applyAlignment="1" applyProtection="1">
      <alignment horizontal="center" vertical="center"/>
      <protection hidden="1"/>
    </xf>
    <xf numFmtId="183" fontId="65" fillId="0" borderId="84" xfId="0" applyNumberFormat="1" applyFont="1" applyBorder="1" applyAlignment="1" applyProtection="1">
      <alignment horizontal="center" vertical="center"/>
      <protection hidden="1"/>
    </xf>
    <xf numFmtId="0" fontId="34" fillId="25" borderId="21" xfId="0" applyFont="1" applyFill="1" applyBorder="1" applyAlignment="1" applyProtection="1">
      <alignment horizontal="center" vertical="top" wrapText="1"/>
      <protection hidden="1"/>
    </xf>
    <xf numFmtId="0" fontId="98" fillId="25" borderId="21" xfId="0" applyFont="1" applyFill="1" applyBorder="1" applyAlignment="1" applyProtection="1">
      <alignment vertical="top"/>
      <protection hidden="1"/>
    </xf>
    <xf numFmtId="182" fontId="16" fillId="27" borderId="0" xfId="0" applyNumberFormat="1" applyFont="1" applyFill="1" applyAlignment="1" applyProtection="1">
      <alignment horizontal="center" vertical="center"/>
      <protection hidden="1"/>
    </xf>
    <xf numFmtId="182" fontId="99" fillId="27" borderId="0" xfId="0" applyNumberFormat="1" applyFont="1" applyFill="1" applyAlignment="1" applyProtection="1">
      <alignment horizontal="center" vertical="center"/>
      <protection hidden="1"/>
    </xf>
    <xf numFmtId="0" fontId="100" fillId="26" borderId="58" xfId="0" applyFont="1" applyFill="1" applyBorder="1" applyAlignment="1" applyProtection="1">
      <alignment horizontal="left" vertical="center"/>
      <protection hidden="1"/>
    </xf>
    <xf numFmtId="0" fontId="13" fillId="25" borderId="0" xfId="0" applyFont="1" applyFill="1" applyAlignment="1" applyProtection="1">
      <alignment horizontal="left" vertical="center"/>
      <protection hidden="1"/>
    </xf>
    <xf numFmtId="0" fontId="13" fillId="25" borderId="10" xfId="0" applyFont="1" applyFill="1" applyBorder="1" applyAlignment="1" applyProtection="1">
      <alignment horizontal="center" vertical="center"/>
      <protection hidden="1"/>
    </xf>
    <xf numFmtId="0" fontId="101" fillId="25" borderId="0" xfId="0" applyFont="1" applyFill="1" applyProtection="1">
      <alignment vertical="center"/>
      <protection hidden="1"/>
    </xf>
    <xf numFmtId="0" fontId="101" fillId="25" borderId="67" xfId="0" applyFont="1" applyFill="1" applyBorder="1" applyProtection="1">
      <alignment vertical="center"/>
      <protection hidden="1"/>
    </xf>
    <xf numFmtId="0" fontId="101" fillId="25" borderId="39" xfId="0" applyFont="1" applyFill="1" applyBorder="1" applyProtection="1">
      <alignment vertical="center"/>
      <protection hidden="1"/>
    </xf>
    <xf numFmtId="0" fontId="102" fillId="26" borderId="72" xfId="0" applyFont="1" applyFill="1" applyBorder="1" applyAlignment="1" applyProtection="1">
      <alignment horizontal="left"/>
      <protection hidden="1"/>
    </xf>
    <xf numFmtId="0" fontId="13" fillId="25" borderId="39" xfId="0" applyFont="1" applyFill="1" applyBorder="1" applyAlignment="1" applyProtection="1">
      <alignment horizontal="left" vertical="center"/>
      <protection hidden="1"/>
    </xf>
    <xf numFmtId="0" fontId="67" fillId="26" borderId="72" xfId="0" applyFont="1" applyFill="1" applyBorder="1" applyAlignment="1" applyProtection="1">
      <alignment horizontal="left" vertical="center"/>
      <protection hidden="1"/>
    </xf>
    <xf numFmtId="0" fontId="13" fillId="25" borderId="21" xfId="0" applyFont="1" applyFill="1" applyBorder="1" applyAlignment="1" applyProtection="1">
      <alignment horizontal="left" vertical="center"/>
      <protection hidden="1"/>
    </xf>
    <xf numFmtId="0" fontId="67" fillId="25" borderId="96" xfId="0" applyFont="1" applyFill="1" applyBorder="1" applyProtection="1">
      <alignment vertical="center"/>
      <protection hidden="1"/>
    </xf>
    <xf numFmtId="0" fontId="99" fillId="27" borderId="76" xfId="0" applyFont="1" applyFill="1" applyBorder="1" applyAlignment="1" applyProtection="1">
      <alignment horizontal="left" vertical="center"/>
      <protection hidden="1"/>
    </xf>
    <xf numFmtId="0" fontId="13" fillId="25" borderId="40" xfId="0" applyFont="1" applyFill="1" applyBorder="1" applyAlignment="1" applyProtection="1">
      <alignment horizontal="center" vertical="center"/>
      <protection hidden="1"/>
    </xf>
    <xf numFmtId="0" fontId="13" fillId="25" borderId="96" xfId="0" applyFont="1" applyFill="1" applyBorder="1" applyAlignment="1" applyProtection="1">
      <alignment horizontal="left" vertical="center"/>
      <protection hidden="1"/>
    </xf>
    <xf numFmtId="0" fontId="13" fillId="25" borderId="39" xfId="0" applyFont="1" applyFill="1" applyBorder="1" applyAlignment="1" applyProtection="1">
      <alignment horizontal="center" vertical="center"/>
      <protection hidden="1"/>
    </xf>
    <xf numFmtId="182" fontId="29" fillId="27" borderId="70" xfId="0" applyNumberFormat="1" applyFont="1" applyFill="1" applyBorder="1" applyAlignment="1" applyProtection="1">
      <alignment horizontal="center" vertical="center"/>
      <protection hidden="1"/>
    </xf>
    <xf numFmtId="0" fontId="0" fillId="25" borderId="119" xfId="0" applyFill="1" applyBorder="1" applyAlignment="1">
      <alignment horizontal="left" vertical="center" wrapText="1"/>
    </xf>
    <xf numFmtId="0" fontId="0" fillId="25" borderId="120" xfId="0" applyFill="1" applyBorder="1" applyAlignment="1">
      <alignment horizontal="left" vertical="center" wrapText="1"/>
    </xf>
    <xf numFmtId="189" fontId="73" fillId="32" borderId="10" xfId="0" applyNumberFormat="1" applyFont="1" applyFill="1" applyBorder="1" applyAlignment="1" applyProtection="1">
      <alignment horizontal="center" vertical="center"/>
      <protection hidden="1"/>
    </xf>
    <xf numFmtId="183" fontId="65" fillId="27" borderId="102" xfId="0" applyNumberFormat="1" applyFont="1" applyFill="1" applyBorder="1" applyAlignment="1" applyProtection="1">
      <alignment horizontal="center" vertical="center"/>
      <protection hidden="1"/>
    </xf>
    <xf numFmtId="183" fontId="71" fillId="26" borderId="59" xfId="0" applyNumberFormat="1" applyFont="1" applyFill="1" applyBorder="1" applyAlignment="1" applyProtection="1">
      <alignment horizontal="center" vertical="center"/>
      <protection hidden="1"/>
    </xf>
    <xf numFmtId="194" fontId="72" fillId="25" borderId="121" xfId="0" applyNumberFormat="1" applyFont="1" applyFill="1" applyBorder="1" applyAlignment="1" applyProtection="1">
      <alignment horizontal="center" vertical="center"/>
      <protection hidden="1"/>
    </xf>
    <xf numFmtId="183" fontId="82" fillId="25" borderId="122" xfId="0" applyNumberFormat="1" applyFont="1" applyFill="1" applyBorder="1" applyAlignment="1" applyProtection="1">
      <alignment horizontal="center" vertical="center"/>
      <protection hidden="1"/>
    </xf>
    <xf numFmtId="194" fontId="52" fillId="27" borderId="88" xfId="0" applyNumberFormat="1" applyFont="1" applyFill="1" applyBorder="1" applyAlignment="1" applyProtection="1">
      <alignment horizontal="center" vertical="center"/>
      <protection hidden="1"/>
    </xf>
    <xf numFmtId="194" fontId="72" fillId="25" borderId="53" xfId="0" applyNumberFormat="1" applyFont="1" applyFill="1" applyBorder="1" applyAlignment="1" applyProtection="1">
      <alignment horizontal="center" vertical="center"/>
      <protection hidden="1"/>
    </xf>
    <xf numFmtId="183" fontId="25" fillId="0" borderId="84" xfId="0" applyNumberFormat="1" applyFont="1" applyBorder="1" applyAlignment="1" applyProtection="1">
      <alignment horizontal="center" vertical="center"/>
      <protection hidden="1"/>
    </xf>
    <xf numFmtId="183" fontId="25" fillId="24" borderId="91" xfId="0" applyNumberFormat="1" applyFont="1" applyFill="1" applyBorder="1" applyAlignment="1" applyProtection="1">
      <alignment horizontal="center" vertical="center"/>
      <protection hidden="1"/>
    </xf>
    <xf numFmtId="183" fontId="25" fillId="25" borderId="123" xfId="0" applyNumberFormat="1" applyFont="1" applyFill="1" applyBorder="1" applyAlignment="1" applyProtection="1">
      <alignment horizontal="center" vertical="center"/>
      <protection hidden="1"/>
    </xf>
    <xf numFmtId="194" fontId="72" fillId="25" borderId="119" xfId="0" applyNumberFormat="1" applyFont="1" applyFill="1" applyBorder="1" applyAlignment="1" applyProtection="1">
      <alignment horizontal="center" vertical="center"/>
      <protection hidden="1"/>
    </xf>
    <xf numFmtId="183" fontId="25" fillId="24" borderId="87" xfId="0" applyNumberFormat="1" applyFont="1" applyFill="1" applyBorder="1" applyAlignment="1" applyProtection="1">
      <alignment horizontal="center" vertical="center"/>
      <protection hidden="1"/>
    </xf>
    <xf numFmtId="194" fontId="72" fillId="25" borderId="124" xfId="0" applyNumberFormat="1" applyFont="1" applyFill="1" applyBorder="1" applyAlignment="1" applyProtection="1">
      <alignment horizontal="center" vertical="center"/>
      <protection hidden="1"/>
    </xf>
    <xf numFmtId="180" fontId="7" fillId="0" borderId="0" xfId="0" applyNumberFormat="1" applyFont="1" applyAlignment="1" applyProtection="1">
      <alignment horizontal="left"/>
      <protection hidden="1"/>
    </xf>
    <xf numFmtId="183" fontId="13" fillId="0" borderId="0" xfId="0" applyNumberFormat="1" applyFont="1" applyProtection="1">
      <alignment vertical="center"/>
      <protection hidden="1"/>
    </xf>
    <xf numFmtId="184" fontId="13" fillId="0" borderId="0" xfId="0" applyNumberFormat="1" applyFont="1" applyProtection="1">
      <alignment vertical="center"/>
      <protection hidden="1"/>
    </xf>
    <xf numFmtId="185" fontId="73" fillId="0" borderId="0" xfId="0" applyNumberFormat="1" applyFont="1" applyAlignment="1" applyProtection="1">
      <alignment horizontal="center"/>
      <protection hidden="1"/>
    </xf>
    <xf numFmtId="0" fontId="8" fillId="0" borderId="0" xfId="0" applyFont="1" applyAlignment="1" applyProtection="1">
      <alignment horizontal="left"/>
      <protection hidden="1"/>
    </xf>
    <xf numFmtId="194" fontId="72" fillId="25" borderId="125" xfId="0" applyNumberFormat="1" applyFont="1" applyFill="1" applyBorder="1" applyAlignment="1" applyProtection="1">
      <alignment horizontal="center" vertical="center"/>
      <protection hidden="1"/>
    </xf>
    <xf numFmtId="0" fontId="8" fillId="25" borderId="0" xfId="0" applyFont="1" applyFill="1" applyAlignment="1" applyProtection="1">
      <alignment horizontal="left" vertical="center"/>
      <protection hidden="1"/>
    </xf>
    <xf numFmtId="0" fontId="32" fillId="25" borderId="0" xfId="0" applyFont="1" applyFill="1" applyProtection="1">
      <alignment vertical="center"/>
      <protection hidden="1"/>
    </xf>
    <xf numFmtId="0" fontId="11" fillId="25" borderId="0" xfId="0" applyFont="1" applyFill="1" applyProtection="1">
      <alignment vertical="center"/>
      <protection hidden="1"/>
    </xf>
    <xf numFmtId="0" fontId="11" fillId="25" borderId="20" xfId="0" applyFont="1" applyFill="1" applyBorder="1" applyProtection="1">
      <alignment vertical="center"/>
      <protection hidden="1"/>
    </xf>
    <xf numFmtId="0" fontId="11" fillId="25" borderId="0" xfId="0" applyFont="1" applyFill="1" applyAlignment="1" applyProtection="1">
      <alignment horizontal="center" vertical="center"/>
      <protection hidden="1"/>
    </xf>
    <xf numFmtId="180" fontId="5" fillId="25" borderId="23" xfId="0" applyNumberFormat="1" applyFont="1" applyFill="1" applyBorder="1" applyAlignment="1" applyProtection="1">
      <alignment horizontal="centerContinuous" vertical="center"/>
      <protection hidden="1"/>
    </xf>
    <xf numFmtId="180" fontId="5" fillId="25" borderId="0" xfId="0" applyNumberFormat="1" applyFont="1" applyFill="1" applyAlignment="1" applyProtection="1">
      <alignment horizontal="centerContinuous" vertical="center"/>
      <protection hidden="1"/>
    </xf>
    <xf numFmtId="0" fontId="2" fillId="25" borderId="51" xfId="0" applyFont="1" applyFill="1" applyBorder="1" applyAlignment="1" applyProtection="1">
      <alignment horizontal="centerContinuous" vertical="center"/>
      <protection hidden="1"/>
    </xf>
    <xf numFmtId="0" fontId="2" fillId="25" borderId="21" xfId="0" applyFont="1" applyFill="1" applyBorder="1" applyAlignment="1" applyProtection="1">
      <alignment horizontal="centerContinuous" vertical="center"/>
      <protection hidden="1"/>
    </xf>
    <xf numFmtId="0" fontId="2" fillId="25" borderId="81" xfId="0" applyFont="1" applyFill="1" applyBorder="1" applyAlignment="1" applyProtection="1">
      <alignment horizontal="center" vertical="distributed"/>
      <protection hidden="1"/>
    </xf>
    <xf numFmtId="0" fontId="55" fillId="0" borderId="0" xfId="0" applyFont="1" applyAlignment="1" applyProtection="1">
      <alignment horizontal="left" vertical="center"/>
      <protection hidden="1"/>
    </xf>
    <xf numFmtId="1" fontId="55" fillId="0" borderId="0" xfId="0" applyNumberFormat="1" applyFont="1" applyAlignment="1" applyProtection="1">
      <alignment horizontal="left" vertical="center"/>
      <protection hidden="1"/>
    </xf>
    <xf numFmtId="0" fontId="64" fillId="0" borderId="0" xfId="0" applyFont="1">
      <alignment vertical="center"/>
    </xf>
    <xf numFmtId="0" fontId="51" fillId="31" borderId="76" xfId="0" applyFont="1" applyFill="1" applyBorder="1" applyProtection="1">
      <alignment vertical="center"/>
      <protection hidden="1"/>
    </xf>
    <xf numFmtId="0" fontId="51" fillId="31" borderId="76" xfId="0" applyFont="1" applyFill="1" applyBorder="1" applyAlignment="1" applyProtection="1">
      <alignment horizontal="right" vertical="center"/>
      <protection hidden="1"/>
    </xf>
    <xf numFmtId="0" fontId="46" fillId="31" borderId="76" xfId="0" applyFont="1" applyFill="1" applyBorder="1" applyAlignment="1" applyProtection="1">
      <alignment horizontal="right" vertical="top"/>
      <protection hidden="1"/>
    </xf>
    <xf numFmtId="0" fontId="44" fillId="31" borderId="76" xfId="0" applyFont="1" applyFill="1" applyBorder="1" applyAlignment="1" applyProtection="1">
      <alignment horizontal="center" vertical="center"/>
      <protection hidden="1"/>
    </xf>
    <xf numFmtId="0" fontId="47" fillId="31" borderId="76" xfId="0" applyFont="1" applyFill="1" applyBorder="1" applyProtection="1">
      <alignment vertical="center"/>
      <protection hidden="1"/>
    </xf>
    <xf numFmtId="0" fontId="46" fillId="31" borderId="77" xfId="0" applyFont="1" applyFill="1" applyBorder="1" applyAlignment="1" applyProtection="1">
      <alignment horizontal="right" vertical="center"/>
      <protection hidden="1"/>
    </xf>
    <xf numFmtId="0" fontId="51" fillId="27" borderId="76" xfId="0" applyFont="1" applyFill="1" applyBorder="1" applyProtection="1">
      <alignment vertical="center"/>
      <protection hidden="1"/>
    </xf>
    <xf numFmtId="0" fontId="44" fillId="27" borderId="76" xfId="0" applyFont="1" applyFill="1" applyBorder="1" applyAlignment="1" applyProtection="1">
      <alignment horizontal="center" vertical="center"/>
      <protection hidden="1"/>
    </xf>
    <xf numFmtId="0" fontId="103" fillId="27" borderId="0" xfId="0" applyFont="1" applyFill="1" applyAlignment="1" applyProtection="1">
      <alignment horizontal="right" vertical="center"/>
      <protection hidden="1"/>
    </xf>
    <xf numFmtId="0" fontId="104" fillId="27" borderId="75" xfId="0" applyFont="1" applyFill="1" applyBorder="1" applyProtection="1">
      <alignment vertical="center"/>
      <protection hidden="1"/>
    </xf>
    <xf numFmtId="0" fontId="13" fillId="0" borderId="10" xfId="0" applyFont="1" applyBorder="1" applyAlignment="1" applyProtection="1">
      <alignment horizontal="right" vertical="center"/>
      <protection locked="0"/>
    </xf>
    <xf numFmtId="2" fontId="13" fillId="0" borderId="0" xfId="0" applyNumberFormat="1" applyFont="1" applyAlignment="1"/>
    <xf numFmtId="2" fontId="33" fillId="0" borderId="0" xfId="0" applyNumberFormat="1" applyFont="1">
      <alignment vertical="center"/>
    </xf>
    <xf numFmtId="0" fontId="2" fillId="0" borderId="10" xfId="0" applyFont="1" applyBorder="1" applyAlignment="1" applyProtection="1">
      <alignment horizontal="left" vertical="center" wrapText="1"/>
      <protection hidden="1"/>
    </xf>
    <xf numFmtId="0" fontId="94" fillId="27" borderId="74" xfId="0" applyFont="1" applyFill="1" applyBorder="1" applyProtection="1">
      <alignment vertical="center"/>
      <protection hidden="1"/>
    </xf>
    <xf numFmtId="0" fontId="106" fillId="27" borderId="67" xfId="0" applyFont="1" applyFill="1" applyBorder="1" applyProtection="1">
      <alignment vertical="center"/>
      <protection hidden="1"/>
    </xf>
    <xf numFmtId="0" fontId="51" fillId="27" borderId="67" xfId="0" applyFont="1" applyFill="1" applyBorder="1" applyAlignment="1" applyProtection="1">
      <alignment horizontal="right" vertical="center"/>
      <protection hidden="1"/>
    </xf>
    <xf numFmtId="0" fontId="51" fillId="27" borderId="67" xfId="0" applyFont="1" applyFill="1" applyBorder="1" applyProtection="1">
      <alignment vertical="center"/>
      <protection hidden="1"/>
    </xf>
    <xf numFmtId="0" fontId="5" fillId="26" borderId="127" xfId="0" applyFont="1" applyFill="1" applyBorder="1" applyAlignment="1" applyProtection="1">
      <alignment horizontal="center" vertical="center"/>
      <protection locked="0" hidden="1"/>
    </xf>
    <xf numFmtId="179" fontId="3" fillId="25" borderId="15" xfId="0" applyNumberFormat="1" applyFont="1" applyFill="1" applyBorder="1" applyProtection="1">
      <alignment vertical="center"/>
      <protection hidden="1"/>
    </xf>
    <xf numFmtId="0" fontId="3" fillId="25" borderId="128" xfId="0" applyFont="1" applyFill="1" applyBorder="1" applyAlignment="1" applyProtection="1">
      <alignment horizontal="center" vertical="center" wrapText="1"/>
      <protection hidden="1"/>
    </xf>
    <xf numFmtId="0" fontId="5" fillId="26" borderId="84" xfId="0" applyFont="1" applyFill="1" applyBorder="1" applyAlignment="1" applyProtection="1">
      <alignment horizontal="center" vertical="center"/>
      <protection locked="0" hidden="1"/>
    </xf>
    <xf numFmtId="0" fontId="107" fillId="24" borderId="0" xfId="0" applyFont="1" applyFill="1" applyAlignment="1" applyProtection="1">
      <alignment horizontal="left" vertical="center"/>
      <protection hidden="1"/>
    </xf>
    <xf numFmtId="0" fontId="93" fillId="24" borderId="0" xfId="0" applyFont="1" applyFill="1" applyAlignment="1" applyProtection="1">
      <alignment horizontal="center" vertical="center"/>
      <protection hidden="1"/>
    </xf>
    <xf numFmtId="0" fontId="64" fillId="0" borderId="75" xfId="0" applyFont="1" applyBorder="1" applyProtection="1">
      <alignment vertical="center"/>
      <protection hidden="1"/>
    </xf>
    <xf numFmtId="0" fontId="42" fillId="24" borderId="0" xfId="0" applyFont="1" applyFill="1" applyAlignment="1" applyProtection="1">
      <protection hidden="1"/>
    </xf>
    <xf numFmtId="0" fontId="78" fillId="24" borderId="0" xfId="0" applyFont="1" applyFill="1" applyAlignment="1" applyProtection="1">
      <alignment horizontal="left" vertical="center"/>
      <protection hidden="1"/>
    </xf>
    <xf numFmtId="0" fontId="45" fillId="24" borderId="0" xfId="0" applyFont="1" applyFill="1" applyAlignment="1" applyProtection="1">
      <alignment horizontal="left" vertical="top"/>
      <protection hidden="1"/>
    </xf>
    <xf numFmtId="186" fontId="37" fillId="0" borderId="10" xfId="0" applyNumberFormat="1" applyFont="1" applyBorder="1" applyProtection="1">
      <alignment vertical="center"/>
      <protection hidden="1"/>
    </xf>
    <xf numFmtId="0" fontId="2" fillId="0" borderId="10" xfId="0" applyFont="1" applyBorder="1" applyAlignment="1" applyProtection="1">
      <alignment vertical="center" wrapText="1"/>
      <protection hidden="1"/>
    </xf>
    <xf numFmtId="38" fontId="2" fillId="0" borderId="10" xfId="0" applyNumberFormat="1" applyFont="1" applyBorder="1" applyProtection="1">
      <alignment vertical="center"/>
      <protection hidden="1"/>
    </xf>
    <xf numFmtId="38" fontId="2" fillId="0" borderId="10" xfId="35" applyFont="1" applyFill="1" applyBorder="1" applyProtection="1">
      <alignment vertical="center"/>
      <protection hidden="1"/>
    </xf>
    <xf numFmtId="0" fontId="2" fillId="0" borderId="10" xfId="0" applyFont="1" applyBorder="1" applyAlignment="1" applyProtection="1">
      <alignment horizontal="center"/>
      <protection hidden="1"/>
    </xf>
    <xf numFmtId="0" fontId="2" fillId="0" borderId="10" xfId="35" applyNumberFormat="1" applyFont="1" applyFill="1" applyBorder="1" applyAlignment="1" applyProtection="1">
      <protection hidden="1"/>
    </xf>
    <xf numFmtId="0" fontId="2" fillId="0" borderId="10" xfId="35" quotePrefix="1" applyNumberFormat="1" applyFont="1" applyFill="1" applyBorder="1" applyAlignment="1" applyProtection="1">
      <protection hidden="1"/>
    </xf>
    <xf numFmtId="0" fontId="2" fillId="0" borderId="10" xfId="0" applyFont="1" applyBorder="1" applyAlignment="1" applyProtection="1">
      <alignment horizontal="left" vertical="center"/>
      <protection hidden="1"/>
    </xf>
    <xf numFmtId="179" fontId="3" fillId="25" borderId="108" xfId="0" applyNumberFormat="1" applyFont="1" applyFill="1" applyBorder="1" applyAlignment="1" applyProtection="1">
      <alignment vertical="center" wrapText="1"/>
      <protection hidden="1"/>
    </xf>
    <xf numFmtId="179" fontId="3" fillId="25" borderId="45" xfId="0" applyNumberFormat="1" applyFont="1" applyFill="1" applyBorder="1" applyAlignment="1" applyProtection="1">
      <alignment vertical="center" wrapText="1"/>
      <protection hidden="1"/>
    </xf>
    <xf numFmtId="179" fontId="3" fillId="25" borderId="110" xfId="0" applyNumberFormat="1" applyFont="1" applyFill="1" applyBorder="1" applyAlignment="1" applyProtection="1">
      <alignment vertical="center" wrapText="1"/>
      <protection hidden="1"/>
    </xf>
    <xf numFmtId="179" fontId="3" fillId="25" borderId="47" xfId="0" applyNumberFormat="1" applyFont="1" applyFill="1" applyBorder="1" applyAlignment="1" applyProtection="1">
      <alignment vertical="center" wrapText="1"/>
      <protection hidden="1"/>
    </xf>
    <xf numFmtId="179" fontId="3" fillId="25" borderId="18" xfId="0" applyNumberFormat="1" applyFont="1" applyFill="1" applyBorder="1" applyAlignment="1" applyProtection="1">
      <alignment vertical="center" wrapText="1"/>
      <protection hidden="1"/>
    </xf>
    <xf numFmtId="179" fontId="3" fillId="25" borderId="43" xfId="0" applyNumberFormat="1" applyFont="1" applyFill="1" applyBorder="1" applyAlignment="1" applyProtection="1">
      <alignment vertical="center" wrapText="1"/>
      <protection hidden="1"/>
    </xf>
    <xf numFmtId="0" fontId="5" fillId="26" borderId="129" xfId="0" applyFont="1" applyFill="1" applyBorder="1" applyAlignment="1" applyProtection="1">
      <alignment horizontal="center" vertical="center"/>
      <protection locked="0" hidden="1"/>
    </xf>
    <xf numFmtId="0" fontId="3" fillId="25" borderId="108" xfId="0" applyFont="1" applyFill="1" applyBorder="1" applyAlignment="1" applyProtection="1">
      <alignment vertical="center" wrapText="1"/>
      <protection hidden="1"/>
    </xf>
    <xf numFmtId="0" fontId="3" fillId="25" borderId="45" xfId="0" applyFont="1" applyFill="1" applyBorder="1" applyAlignment="1" applyProtection="1">
      <alignment vertical="center" wrapText="1"/>
      <protection hidden="1"/>
    </xf>
    <xf numFmtId="0" fontId="3" fillId="25" borderId="110" xfId="0" applyFont="1" applyFill="1" applyBorder="1" applyAlignment="1" applyProtection="1">
      <alignment vertical="center" wrapText="1"/>
      <protection hidden="1"/>
    </xf>
    <xf numFmtId="0" fontId="3" fillId="25" borderId="47" xfId="0" applyFont="1" applyFill="1" applyBorder="1" applyAlignment="1" applyProtection="1">
      <alignment vertical="center" wrapText="1"/>
      <protection hidden="1"/>
    </xf>
    <xf numFmtId="179" fontId="3" fillId="25" borderId="46" xfId="0" applyNumberFormat="1" applyFont="1" applyFill="1" applyBorder="1" applyProtection="1">
      <alignment vertical="center"/>
      <protection hidden="1"/>
    </xf>
    <xf numFmtId="0" fontId="10" fillId="25" borderId="48" xfId="0" applyFont="1" applyFill="1" applyBorder="1">
      <alignment vertical="center"/>
    </xf>
    <xf numFmtId="0" fontId="3" fillId="25" borderId="48" xfId="0" applyFont="1" applyFill="1" applyBorder="1">
      <alignment vertical="center"/>
    </xf>
    <xf numFmtId="0" fontId="3" fillId="25" borderId="47" xfId="0" applyFont="1" applyFill="1" applyBorder="1" applyProtection="1">
      <alignment vertical="center"/>
      <protection hidden="1"/>
    </xf>
    <xf numFmtId="0" fontId="5" fillId="26" borderId="41" xfId="0" applyFont="1" applyFill="1" applyBorder="1" applyAlignment="1" applyProtection="1">
      <alignment horizontal="center" vertical="center"/>
      <protection locked="0" hidden="1"/>
    </xf>
    <xf numFmtId="0" fontId="3" fillId="25" borderId="130" xfId="0" applyFont="1" applyFill="1" applyBorder="1" applyAlignment="1" applyProtection="1">
      <alignment horizontal="center" vertical="center"/>
      <protection hidden="1"/>
    </xf>
    <xf numFmtId="0" fontId="5" fillId="26" borderId="0" xfId="0" applyFont="1" applyFill="1" applyAlignment="1" applyProtection="1">
      <alignment horizontal="center" vertical="center"/>
      <protection locked="0" hidden="1"/>
    </xf>
    <xf numFmtId="0" fontId="3" fillId="25" borderId="0" xfId="0" applyFont="1" applyFill="1" applyAlignment="1" applyProtection="1">
      <alignment horizontal="center" vertical="center"/>
      <protection hidden="1"/>
    </xf>
    <xf numFmtId="0" fontId="3" fillId="25" borderId="10" xfId="0" applyFont="1" applyFill="1" applyBorder="1" applyProtection="1">
      <alignment vertical="center"/>
      <protection hidden="1"/>
    </xf>
    <xf numFmtId="0" fontId="3" fillId="25" borderId="39" xfId="0" applyFont="1" applyFill="1" applyBorder="1" applyProtection="1">
      <alignment vertical="center"/>
      <protection hidden="1"/>
    </xf>
    <xf numFmtId="0" fontId="3" fillId="25" borderId="48" xfId="0" applyFont="1" applyFill="1" applyBorder="1" applyProtection="1">
      <alignment vertical="center"/>
      <protection hidden="1"/>
    </xf>
    <xf numFmtId="0" fontId="3" fillId="25" borderId="17" xfId="0" applyFont="1" applyFill="1" applyBorder="1" applyProtection="1">
      <alignment vertical="center"/>
      <protection hidden="1"/>
    </xf>
    <xf numFmtId="0" fontId="3" fillId="25" borderId="104" xfId="0" applyFont="1" applyFill="1" applyBorder="1" applyProtection="1">
      <alignment vertical="center"/>
      <protection hidden="1"/>
    </xf>
    <xf numFmtId="0" fontId="3" fillId="25" borderId="40" xfId="0" applyFont="1" applyFill="1" applyBorder="1" applyAlignment="1" applyProtection="1">
      <alignment vertical="center" wrapText="1"/>
      <protection hidden="1"/>
    </xf>
    <xf numFmtId="38" fontId="13" fillId="0" borderId="0" xfId="0" applyNumberFormat="1" applyFont="1" applyAlignment="1">
      <alignment horizontal="left" vertical="center"/>
    </xf>
    <xf numFmtId="0" fontId="5" fillId="26" borderId="131" xfId="0" applyFont="1" applyFill="1" applyBorder="1" applyAlignment="1" applyProtection="1">
      <alignment horizontal="center" vertical="center"/>
      <protection locked="0" hidden="1"/>
    </xf>
    <xf numFmtId="0" fontId="3" fillId="25" borderId="69" xfId="0" applyFont="1" applyFill="1" applyBorder="1" applyAlignment="1">
      <alignment vertical="top"/>
    </xf>
    <xf numFmtId="196" fontId="10" fillId="26" borderId="41" xfId="0" applyNumberFormat="1" applyFont="1" applyFill="1" applyBorder="1" applyAlignment="1" applyProtection="1">
      <alignment horizontal="center" vertical="center"/>
      <protection hidden="1"/>
    </xf>
    <xf numFmtId="0" fontId="5" fillId="26" borderId="132" xfId="0" applyFont="1" applyFill="1" applyBorder="1" applyAlignment="1" applyProtection="1">
      <alignment horizontal="center" vertical="center"/>
      <protection locked="0" hidden="1"/>
    </xf>
    <xf numFmtId="179" fontId="3" fillId="25" borderId="94" xfId="0" applyNumberFormat="1" applyFont="1" applyFill="1" applyBorder="1" applyAlignment="1" applyProtection="1">
      <alignment horizontal="center" vertical="center"/>
      <protection hidden="1"/>
    </xf>
    <xf numFmtId="179" fontId="3" fillId="25" borderId="45" xfId="0" applyNumberFormat="1" applyFont="1" applyFill="1" applyBorder="1" applyAlignment="1" applyProtection="1">
      <alignment horizontal="center" vertical="center"/>
      <protection hidden="1"/>
    </xf>
    <xf numFmtId="179" fontId="3" fillId="25" borderId="66" xfId="0" applyNumberFormat="1" applyFont="1" applyFill="1" applyBorder="1" applyProtection="1">
      <alignment vertical="center"/>
      <protection hidden="1"/>
    </xf>
    <xf numFmtId="0" fontId="23" fillId="0" borderId="0" xfId="0" applyFont="1" applyAlignment="1" applyProtection="1">
      <alignment horizontal="center" vertical="center"/>
      <protection hidden="1"/>
    </xf>
    <xf numFmtId="0" fontId="3" fillId="25" borderId="18" xfId="0" applyFont="1" applyFill="1" applyBorder="1" applyAlignment="1" applyProtection="1">
      <alignment horizontal="left" vertical="center" wrapText="1"/>
      <protection hidden="1"/>
    </xf>
    <xf numFmtId="0" fontId="3" fillId="25" borderId="43" xfId="0" applyFont="1" applyFill="1" applyBorder="1" applyAlignment="1" applyProtection="1">
      <alignment horizontal="left" vertical="center" wrapText="1"/>
      <protection hidden="1"/>
    </xf>
    <xf numFmtId="0" fontId="3" fillId="25" borderId="133" xfId="0" applyFont="1" applyFill="1" applyBorder="1" applyProtection="1">
      <alignment vertical="center"/>
      <protection hidden="1"/>
    </xf>
    <xf numFmtId="0" fontId="5" fillId="26" borderId="126" xfId="0" applyFont="1" applyFill="1" applyBorder="1" applyAlignment="1" applyProtection="1">
      <alignment horizontal="center" vertical="center"/>
      <protection locked="0" hidden="1"/>
    </xf>
    <xf numFmtId="0" fontId="3" fillId="25" borderId="119" xfId="0" applyFont="1" applyFill="1" applyBorder="1" applyAlignment="1" applyProtection="1">
      <alignment horizontal="center" vertical="center" wrapText="1"/>
      <protection hidden="1"/>
    </xf>
    <xf numFmtId="0" fontId="3" fillId="25" borderId="39" xfId="0" applyFont="1" applyFill="1" applyBorder="1" applyAlignment="1" applyProtection="1">
      <alignment vertical="center" wrapText="1"/>
      <protection hidden="1"/>
    </xf>
    <xf numFmtId="0" fontId="3" fillId="25" borderId="17" xfId="0" applyFont="1" applyFill="1" applyBorder="1" applyAlignment="1" applyProtection="1">
      <alignment vertical="center" wrapText="1"/>
      <protection hidden="1"/>
    </xf>
    <xf numFmtId="0" fontId="3" fillId="25" borderId="128" xfId="0" applyFont="1" applyFill="1" applyBorder="1" applyAlignment="1" applyProtection="1">
      <alignment horizontal="center" vertical="center"/>
      <protection hidden="1"/>
    </xf>
    <xf numFmtId="0" fontId="5" fillId="26" borderId="135" xfId="0" applyFont="1" applyFill="1" applyBorder="1" applyAlignment="1" applyProtection="1">
      <alignment horizontal="center" vertical="center"/>
      <protection locked="0" hidden="1"/>
    </xf>
    <xf numFmtId="0" fontId="41" fillId="0" borderId="0" xfId="0" applyFont="1" applyProtection="1">
      <alignment vertical="center"/>
      <protection hidden="1"/>
    </xf>
    <xf numFmtId="0" fontId="14" fillId="31" borderId="76" xfId="0" applyFont="1" applyFill="1" applyBorder="1" applyAlignment="1" applyProtection="1">
      <alignment horizontal="left" vertical="center"/>
      <protection hidden="1"/>
    </xf>
    <xf numFmtId="0" fontId="14" fillId="31" borderId="75" xfId="0" applyFont="1" applyFill="1" applyBorder="1" applyAlignment="1" applyProtection="1">
      <alignment horizontal="left" vertical="center"/>
      <protection hidden="1"/>
    </xf>
    <xf numFmtId="0" fontId="49" fillId="31" borderId="76" xfId="0" applyFont="1" applyFill="1" applyBorder="1" applyAlignment="1" applyProtection="1">
      <alignment horizontal="right" vertical="top"/>
      <protection hidden="1"/>
    </xf>
    <xf numFmtId="0" fontId="13" fillId="0" borderId="0" xfId="0" applyFont="1" applyProtection="1">
      <alignment vertical="center"/>
      <protection hidden="1"/>
    </xf>
    <xf numFmtId="3" fontId="19" fillId="0" borderId="0" xfId="0" applyNumberFormat="1" applyFont="1" applyProtection="1">
      <alignment vertical="center"/>
      <protection hidden="1"/>
    </xf>
    <xf numFmtId="3" fontId="18" fillId="0" borderId="0" xfId="0" applyNumberFormat="1" applyFont="1" applyProtection="1">
      <alignment vertical="center"/>
      <protection hidden="1"/>
    </xf>
    <xf numFmtId="0" fontId="18" fillId="0" borderId="0" xfId="0" applyFont="1" applyProtection="1">
      <alignment vertical="center"/>
      <protection hidden="1"/>
    </xf>
    <xf numFmtId="37" fontId="18" fillId="0" borderId="0" xfId="0" applyNumberFormat="1" applyFont="1" applyProtection="1">
      <alignment vertical="center"/>
      <protection hidden="1"/>
    </xf>
    <xf numFmtId="37" fontId="13" fillId="0" borderId="0" xfId="0" applyNumberFormat="1" applyFont="1" applyProtection="1">
      <alignment vertical="center"/>
      <protection hidden="1"/>
    </xf>
    <xf numFmtId="0" fontId="13" fillId="0" borderId="75" xfId="0" applyFont="1" applyBorder="1" applyProtection="1">
      <alignment vertical="center"/>
      <protection hidden="1"/>
    </xf>
    <xf numFmtId="0" fontId="18" fillId="0" borderId="23" xfId="0" applyFont="1" applyBorder="1" applyProtection="1">
      <alignment vertical="center"/>
      <protection hidden="1"/>
    </xf>
    <xf numFmtId="0" fontId="13" fillId="0" borderId="23" xfId="0" applyFont="1" applyBorder="1" applyProtection="1">
      <alignment vertical="center"/>
      <protection hidden="1"/>
    </xf>
    <xf numFmtId="49" fontId="13" fillId="0" borderId="75" xfId="0" applyNumberFormat="1" applyFont="1" applyBorder="1" applyAlignment="1" applyProtection="1">
      <alignment horizontal="left" vertical="center"/>
      <protection hidden="1"/>
    </xf>
    <xf numFmtId="3" fontId="19" fillId="0" borderId="76" xfId="0" applyNumberFormat="1" applyFont="1" applyBorder="1" applyProtection="1">
      <alignment vertical="center"/>
      <protection hidden="1"/>
    </xf>
    <xf numFmtId="0" fontId="13" fillId="0" borderId="23" xfId="0" applyFont="1" applyBorder="1" applyAlignment="1" applyProtection="1">
      <alignment horizontal="left" vertical="center"/>
      <protection hidden="1"/>
    </xf>
    <xf numFmtId="0" fontId="13" fillId="0" borderId="38" xfId="0" applyFont="1" applyBorder="1" applyProtection="1">
      <alignment vertical="center"/>
      <protection hidden="1"/>
    </xf>
    <xf numFmtId="2" fontId="18" fillId="0" borderId="39" xfId="0" applyNumberFormat="1" applyFont="1" applyBorder="1" applyProtection="1">
      <alignment vertical="center"/>
      <protection hidden="1"/>
    </xf>
    <xf numFmtId="3" fontId="13" fillId="0" borderId="74" xfId="0" applyNumberFormat="1" applyFont="1" applyBorder="1" applyProtection="1">
      <alignment vertical="center"/>
      <protection hidden="1"/>
    </xf>
    <xf numFmtId="31" fontId="13" fillId="0" borderId="67" xfId="0" applyNumberFormat="1" applyFont="1" applyBorder="1" applyProtection="1">
      <alignment vertical="center"/>
      <protection hidden="1"/>
    </xf>
    <xf numFmtId="0" fontId="13" fillId="0" borderId="118" xfId="0" applyFont="1" applyBorder="1" applyProtection="1">
      <alignment vertical="center"/>
      <protection hidden="1"/>
    </xf>
    <xf numFmtId="0" fontId="18" fillId="0" borderId="21" xfId="0" applyFont="1" applyBorder="1" applyProtection="1">
      <alignment vertical="center"/>
      <protection hidden="1"/>
    </xf>
    <xf numFmtId="0" fontId="18" fillId="0" borderId="136" xfId="0" applyFont="1" applyBorder="1" applyProtection="1">
      <alignment vertical="center"/>
      <protection hidden="1"/>
    </xf>
    <xf numFmtId="3" fontId="13" fillId="0" borderId="137" xfId="0" applyNumberFormat="1" applyFont="1" applyBorder="1" applyProtection="1">
      <alignment vertical="center"/>
      <protection hidden="1"/>
    </xf>
    <xf numFmtId="0" fontId="18" fillId="0" borderId="111" xfId="0" applyFont="1" applyBorder="1" applyProtection="1">
      <alignment vertical="center"/>
      <protection hidden="1"/>
    </xf>
    <xf numFmtId="0" fontId="18" fillId="0" borderId="96" xfId="0" applyFont="1" applyBorder="1" applyProtection="1">
      <alignment vertical="center"/>
      <protection hidden="1"/>
    </xf>
    <xf numFmtId="0" fontId="64" fillId="0" borderId="49" xfId="0" applyFont="1" applyBorder="1" applyProtection="1">
      <alignment vertical="center"/>
      <protection hidden="1"/>
    </xf>
    <xf numFmtId="3" fontId="88" fillId="24" borderId="49" xfId="0" applyNumberFormat="1" applyFont="1" applyFill="1" applyBorder="1" applyAlignment="1" applyProtection="1">
      <alignment horizontal="left" vertical="center"/>
      <protection hidden="1"/>
    </xf>
    <xf numFmtId="0" fontId="66" fillId="24" borderId="49" xfId="0" applyFont="1" applyFill="1" applyBorder="1" applyProtection="1">
      <alignment vertical="center"/>
      <protection hidden="1"/>
    </xf>
    <xf numFmtId="37" fontId="13" fillId="24" borderId="49" xfId="0" applyNumberFormat="1" applyFont="1" applyFill="1" applyBorder="1" applyAlignment="1" applyProtection="1">
      <alignment horizontal="left" vertical="center"/>
      <protection hidden="1"/>
    </xf>
    <xf numFmtId="0" fontId="14" fillId="31" borderId="138" xfId="0" applyFont="1" applyFill="1" applyBorder="1" applyAlignment="1" applyProtection="1">
      <alignment horizontal="left" vertical="center"/>
      <protection hidden="1"/>
    </xf>
    <xf numFmtId="0" fontId="14" fillId="31" borderId="138" xfId="0" applyFont="1" applyFill="1" applyBorder="1" applyProtection="1">
      <alignment vertical="center"/>
      <protection hidden="1"/>
    </xf>
    <xf numFmtId="0" fontId="20" fillId="24" borderId="10" xfId="0" applyFont="1" applyFill="1" applyBorder="1" applyAlignment="1" applyProtection="1">
      <alignment horizontal="center" vertical="center"/>
      <protection locked="0"/>
    </xf>
    <xf numFmtId="55" fontId="13" fillId="24" borderId="40" xfId="0" applyNumberFormat="1" applyFont="1" applyFill="1" applyBorder="1" applyAlignment="1" applyProtection="1">
      <alignment horizontal="right" vertical="center"/>
      <protection locked="0"/>
    </xf>
    <xf numFmtId="0" fontId="13" fillId="0" borderId="104" xfId="0" applyFont="1" applyBorder="1" applyAlignment="1" applyProtection="1">
      <alignment horizontal="right" vertical="center"/>
      <protection locked="0"/>
    </xf>
    <xf numFmtId="0" fontId="15" fillId="29" borderId="0" xfId="0" applyFont="1" applyFill="1" applyProtection="1">
      <alignment vertical="center"/>
      <protection hidden="1"/>
    </xf>
    <xf numFmtId="0" fontId="77" fillId="25" borderId="0" xfId="0" applyFont="1" applyFill="1" applyAlignment="1" applyProtection="1">
      <alignment horizontal="left" vertical="center"/>
      <protection hidden="1"/>
    </xf>
    <xf numFmtId="0" fontId="84" fillId="25" borderId="0" xfId="0" applyFont="1" applyFill="1" applyAlignment="1" applyProtection="1">
      <alignment vertical="top"/>
      <protection hidden="1"/>
    </xf>
    <xf numFmtId="0" fontId="84" fillId="25" borderId="0" xfId="0" applyFont="1" applyFill="1" applyAlignment="1" applyProtection="1">
      <alignment horizontal="left" vertical="top"/>
      <protection hidden="1"/>
    </xf>
    <xf numFmtId="0" fontId="3" fillId="25" borderId="0" xfId="0" applyFont="1" applyFill="1" applyAlignment="1">
      <alignment horizontal="left" vertical="center"/>
    </xf>
    <xf numFmtId="0" fontId="19" fillId="25" borderId="0" xfId="0" applyFont="1" applyFill="1" applyAlignment="1">
      <alignment horizontal="left" vertical="center"/>
    </xf>
    <xf numFmtId="186" fontId="63" fillId="0" borderId="0" xfId="35" applyNumberFormat="1" applyFont="1" applyFill="1" applyBorder="1" applyAlignment="1" applyProtection="1">
      <alignment horizontal="center" vertical="center"/>
      <protection hidden="1"/>
    </xf>
    <xf numFmtId="0" fontId="29" fillId="31" borderId="49" xfId="0" applyFont="1" applyFill="1" applyBorder="1" applyAlignment="1" applyProtection="1">
      <alignment horizontal="left" vertical="center"/>
      <protection hidden="1"/>
    </xf>
    <xf numFmtId="0" fontId="53" fillId="31" borderId="49" xfId="0" applyFont="1" applyFill="1" applyBorder="1" applyAlignment="1" applyProtection="1">
      <alignment horizontal="right" vertical="center"/>
      <protection hidden="1"/>
    </xf>
    <xf numFmtId="2" fontId="18" fillId="0" borderId="139" xfId="0" applyNumberFormat="1" applyFont="1" applyBorder="1" applyAlignment="1" applyProtection="1">
      <alignment horizontal="center" vertical="center"/>
      <protection hidden="1"/>
    </xf>
    <xf numFmtId="3" fontId="18" fillId="0" borderId="140" xfId="0" applyNumberFormat="1" applyFont="1" applyBorder="1" applyAlignment="1" applyProtection="1">
      <alignment horizontal="center" vertical="center"/>
      <protection hidden="1"/>
    </xf>
    <xf numFmtId="0" fontId="18" fillId="0" borderId="141" xfId="0" applyFont="1" applyBorder="1" applyAlignment="1" applyProtection="1">
      <alignment horizontal="center" vertical="center"/>
      <protection hidden="1"/>
    </xf>
    <xf numFmtId="0" fontId="13" fillId="0" borderId="142" xfId="0" applyFont="1" applyBorder="1" applyAlignment="1" applyProtection="1">
      <alignment horizontal="center" vertical="center"/>
      <protection hidden="1"/>
    </xf>
    <xf numFmtId="0" fontId="13" fillId="0" borderId="136" xfId="0" applyFont="1" applyBorder="1" applyAlignment="1" applyProtection="1">
      <alignment horizontal="center" vertical="center"/>
      <protection hidden="1"/>
    </xf>
    <xf numFmtId="0" fontId="18" fillId="0" borderId="143" xfId="0" applyFont="1" applyBorder="1" applyAlignment="1" applyProtection="1">
      <alignment horizontal="center" vertical="center"/>
      <protection hidden="1"/>
    </xf>
    <xf numFmtId="0" fontId="18" fillId="0" borderId="140" xfId="0" applyFont="1" applyBorder="1" applyAlignment="1" applyProtection="1">
      <alignment horizontal="center" vertical="center"/>
      <protection hidden="1"/>
    </xf>
    <xf numFmtId="0" fontId="18" fillId="0" borderId="144" xfId="0" applyFont="1" applyBorder="1" applyAlignment="1" applyProtection="1">
      <alignment horizontal="center" vertical="center"/>
      <protection hidden="1"/>
    </xf>
    <xf numFmtId="0" fontId="13" fillId="0" borderId="145" xfId="0" applyFont="1" applyBorder="1" applyAlignment="1" applyProtection="1">
      <alignment horizontal="center" vertical="center"/>
      <protection hidden="1"/>
    </xf>
    <xf numFmtId="0" fontId="3" fillId="24" borderId="0" xfId="0" applyFont="1" applyFill="1" applyAlignment="1" applyProtection="1">
      <alignment horizontal="right" vertical="center"/>
      <protection hidden="1"/>
    </xf>
    <xf numFmtId="31" fontId="13" fillId="0" borderId="147" xfId="0" applyNumberFormat="1" applyFont="1" applyBorder="1" applyAlignment="1" applyProtection="1">
      <alignment horizontal="centerContinuous" vertical="center"/>
      <protection hidden="1"/>
    </xf>
    <xf numFmtId="0" fontId="18" fillId="0" borderId="70" xfId="0" applyFont="1" applyBorder="1" applyAlignment="1" applyProtection="1">
      <alignment horizontal="centerContinuous" vertical="center"/>
      <protection hidden="1"/>
    </xf>
    <xf numFmtId="3" fontId="13" fillId="0" borderId="148" xfId="0" applyNumberFormat="1" applyFont="1" applyBorder="1" applyAlignment="1" applyProtection="1">
      <alignment horizontal="centerContinuous" vertical="center"/>
      <protection hidden="1"/>
    </xf>
    <xf numFmtId="31" fontId="18" fillId="0" borderId="20" xfId="0" applyNumberFormat="1" applyFont="1" applyBorder="1" applyAlignment="1" applyProtection="1">
      <alignment horizontal="centerContinuous" vertical="center"/>
      <protection hidden="1"/>
    </xf>
    <xf numFmtId="37" fontId="13" fillId="0" borderId="22" xfId="0" applyNumberFormat="1" applyFont="1" applyBorder="1" applyAlignment="1" applyProtection="1">
      <alignment horizontal="centerContinuous" vertical="center"/>
      <protection hidden="1"/>
    </xf>
    <xf numFmtId="0" fontId="13" fillId="0" borderId="149" xfId="0" applyFont="1" applyBorder="1" applyAlignment="1" applyProtection="1">
      <alignment horizontal="left" vertical="center"/>
      <protection hidden="1"/>
    </xf>
    <xf numFmtId="37" fontId="18" fillId="0" borderId="18" xfId="0" applyNumberFormat="1" applyFont="1" applyBorder="1" applyProtection="1">
      <alignment vertical="center"/>
      <protection hidden="1"/>
    </xf>
    <xf numFmtId="0" fontId="18" fillId="0" borderId="150" xfId="0" applyFont="1" applyBorder="1" applyProtection="1">
      <alignment vertical="center"/>
      <protection hidden="1"/>
    </xf>
    <xf numFmtId="3" fontId="13" fillId="0" borderId="18" xfId="0" applyNumberFormat="1" applyFont="1" applyBorder="1" applyProtection="1">
      <alignment vertical="center"/>
      <protection hidden="1"/>
    </xf>
    <xf numFmtId="0" fontId="18" fillId="0" borderId="136" xfId="0" applyFont="1" applyBorder="1" applyAlignment="1" applyProtection="1">
      <alignment horizontal="centerContinuous" vertical="center"/>
      <protection hidden="1"/>
    </xf>
    <xf numFmtId="0" fontId="112" fillId="0" borderId="10" xfId="0" applyFont="1" applyBorder="1" applyProtection="1">
      <alignment vertical="center"/>
      <protection hidden="1"/>
    </xf>
    <xf numFmtId="0" fontId="37" fillId="0" borderId="0" xfId="35" applyNumberFormat="1" applyFont="1" applyFill="1" applyBorder="1" applyAlignment="1" applyProtection="1">
      <protection hidden="1"/>
    </xf>
    <xf numFmtId="38" fontId="2" fillId="0" borderId="0" xfId="35" applyFont="1" applyFill="1" applyBorder="1" applyProtection="1">
      <alignment vertical="center"/>
      <protection hidden="1"/>
    </xf>
    <xf numFmtId="0" fontId="64" fillId="0" borderId="137" xfId="0" applyFont="1" applyBorder="1" applyProtection="1">
      <alignment vertical="center"/>
      <protection hidden="1"/>
    </xf>
    <xf numFmtId="0" fontId="64" fillId="0" borderId="111" xfId="0" applyFont="1" applyBorder="1" applyProtection="1">
      <alignment vertical="center"/>
      <protection hidden="1"/>
    </xf>
    <xf numFmtId="0" fontId="64" fillId="0" borderId="148" xfId="0" applyFont="1" applyBorder="1" applyProtection="1">
      <alignment vertical="center"/>
      <protection hidden="1"/>
    </xf>
    <xf numFmtId="56" fontId="14" fillId="31" borderId="138" xfId="0" applyNumberFormat="1" applyFont="1" applyFill="1" applyBorder="1" applyProtection="1">
      <alignment vertical="center"/>
      <protection hidden="1"/>
    </xf>
    <xf numFmtId="0" fontId="65" fillId="0" borderId="23" xfId="0" applyFont="1" applyBorder="1" applyProtection="1">
      <alignment vertical="center"/>
      <protection hidden="1"/>
    </xf>
    <xf numFmtId="0" fontId="25" fillId="0" borderId="0" xfId="0" applyFont="1" applyAlignment="1" applyProtection="1">
      <alignment horizontal="center" vertical="center"/>
      <protection hidden="1"/>
    </xf>
    <xf numFmtId="0" fontId="25" fillId="0" borderId="20" xfId="0" applyFont="1" applyBorder="1" applyAlignment="1" applyProtection="1">
      <alignment horizontal="center" vertical="center"/>
      <protection hidden="1"/>
    </xf>
    <xf numFmtId="186" fontId="63" fillId="0" borderId="10" xfId="35" applyNumberFormat="1" applyFont="1" applyFill="1" applyBorder="1" applyAlignment="1" applyProtection="1">
      <alignment horizontal="center" vertical="center"/>
      <protection hidden="1"/>
    </xf>
    <xf numFmtId="0" fontId="111" fillId="0" borderId="10" xfId="0" applyFont="1" applyBorder="1" applyProtection="1">
      <alignment vertical="center"/>
      <protection hidden="1"/>
    </xf>
    <xf numFmtId="0" fontId="21" fillId="0" borderId="10" xfId="0" applyFont="1" applyBorder="1" applyProtection="1">
      <alignment vertical="center"/>
      <protection hidden="1"/>
    </xf>
    <xf numFmtId="0" fontId="55" fillId="0" borderId="0" xfId="0" applyFont="1" applyProtection="1">
      <alignment vertical="center"/>
      <protection hidden="1"/>
    </xf>
    <xf numFmtId="186" fontId="67" fillId="0" borderId="10" xfId="0" applyNumberFormat="1" applyFont="1" applyBorder="1" applyProtection="1">
      <alignment vertical="center"/>
      <protection hidden="1"/>
    </xf>
    <xf numFmtId="0" fontId="2" fillId="0" borderId="10" xfId="0" applyFont="1" applyBorder="1" applyAlignment="1" applyProtection="1">
      <alignment horizontal="left"/>
      <protection hidden="1"/>
    </xf>
    <xf numFmtId="0" fontId="64" fillId="34" borderId="10" xfId="0" applyFont="1" applyFill="1" applyBorder="1" applyProtection="1">
      <alignment vertical="center"/>
      <protection hidden="1"/>
    </xf>
    <xf numFmtId="0" fontId="5" fillId="25" borderId="117" xfId="0" quotePrefix="1" applyFont="1" applyFill="1" applyBorder="1" applyProtection="1">
      <alignment vertical="center"/>
      <protection hidden="1"/>
    </xf>
    <xf numFmtId="0" fontId="5" fillId="25" borderId="24" xfId="0" applyFont="1" applyFill="1" applyBorder="1" applyProtection="1">
      <alignment vertical="center"/>
      <protection hidden="1"/>
    </xf>
    <xf numFmtId="183" fontId="25" fillId="24" borderId="84" xfId="0" applyNumberFormat="1" applyFont="1" applyFill="1" applyBorder="1" applyAlignment="1" applyProtection="1">
      <alignment horizontal="center" vertical="center"/>
      <protection hidden="1"/>
    </xf>
    <xf numFmtId="183" fontId="25" fillId="24" borderId="83" xfId="0" applyNumberFormat="1" applyFont="1" applyFill="1" applyBorder="1" applyAlignment="1" applyProtection="1">
      <alignment horizontal="center" vertical="center"/>
      <protection hidden="1"/>
    </xf>
    <xf numFmtId="194" fontId="72" fillId="25" borderId="51" xfId="0" applyNumberFormat="1" applyFont="1" applyFill="1" applyBorder="1" applyAlignment="1" applyProtection="1">
      <alignment horizontal="center" vertical="center"/>
      <protection hidden="1"/>
    </xf>
    <xf numFmtId="182" fontId="55" fillId="24" borderId="0" xfId="0" applyNumberFormat="1" applyFont="1" applyFill="1" applyAlignment="1" applyProtection="1">
      <alignment horizontal="center" vertical="center"/>
      <protection hidden="1"/>
    </xf>
    <xf numFmtId="176" fontId="55" fillId="0" borderId="20" xfId="0" applyNumberFormat="1" applyFont="1" applyBorder="1" applyAlignment="1" applyProtection="1">
      <alignment horizontal="center" vertical="center"/>
      <protection hidden="1"/>
    </xf>
    <xf numFmtId="182" fontId="55" fillId="24" borderId="20" xfId="0" applyNumberFormat="1" applyFont="1" applyFill="1" applyBorder="1" applyAlignment="1" applyProtection="1">
      <alignment horizontal="center" vertical="center"/>
      <protection hidden="1"/>
    </xf>
    <xf numFmtId="0" fontId="51" fillId="35" borderId="67" xfId="0" applyFont="1" applyFill="1" applyBorder="1" applyProtection="1">
      <alignment vertical="center"/>
      <protection hidden="1"/>
    </xf>
    <xf numFmtId="0" fontId="51" fillId="35" borderId="67" xfId="0" applyFont="1" applyFill="1" applyBorder="1" applyAlignment="1" applyProtection="1">
      <alignment horizontal="right" vertical="center"/>
      <protection hidden="1"/>
    </xf>
    <xf numFmtId="0" fontId="52" fillId="35" borderId="94" xfId="0" applyFont="1" applyFill="1" applyBorder="1" applyProtection="1">
      <alignment vertical="center"/>
      <protection hidden="1"/>
    </xf>
    <xf numFmtId="0" fontId="115" fillId="35" borderId="67" xfId="0" applyFont="1" applyFill="1" applyBorder="1" applyProtection="1">
      <alignment vertical="center"/>
      <protection hidden="1"/>
    </xf>
    <xf numFmtId="0" fontId="52" fillId="35" borderId="67" xfId="0" applyFont="1" applyFill="1" applyBorder="1" applyAlignment="1" applyProtection="1">
      <alignment horizontal="center" vertical="center"/>
      <protection hidden="1"/>
    </xf>
    <xf numFmtId="0" fontId="52" fillId="35" borderId="70" xfId="0" applyFont="1" applyFill="1" applyBorder="1" applyAlignment="1" applyProtection="1">
      <alignment horizontal="center" vertical="center"/>
      <protection hidden="1"/>
    </xf>
    <xf numFmtId="0" fontId="115" fillId="35" borderId="74" xfId="0" applyFont="1" applyFill="1" applyBorder="1" applyProtection="1">
      <alignment vertical="center"/>
      <protection hidden="1"/>
    </xf>
    <xf numFmtId="0" fontId="116" fillId="35" borderId="74" xfId="0" applyFont="1" applyFill="1" applyBorder="1" applyProtection="1">
      <alignment vertical="center"/>
      <protection hidden="1"/>
    </xf>
    <xf numFmtId="0" fontId="52" fillId="35" borderId="94" xfId="0" applyFont="1" applyFill="1" applyBorder="1" applyAlignment="1" applyProtection="1">
      <alignment horizontal="center" vertical="center"/>
      <protection hidden="1"/>
    </xf>
    <xf numFmtId="0" fontId="116" fillId="35" borderId="11" xfId="0" applyFont="1" applyFill="1" applyBorder="1">
      <alignment vertical="center"/>
    </xf>
    <xf numFmtId="0" fontId="52" fillId="35" borderId="0" xfId="0" applyFont="1" applyFill="1" applyAlignment="1" applyProtection="1">
      <alignment horizontal="center" vertical="center"/>
      <protection hidden="1"/>
    </xf>
    <xf numFmtId="0" fontId="52" fillId="35" borderId="16" xfId="0" applyFont="1" applyFill="1" applyBorder="1" applyAlignment="1" applyProtection="1">
      <alignment horizontal="center" vertical="center"/>
      <protection hidden="1"/>
    </xf>
    <xf numFmtId="0" fontId="116" fillId="35" borderId="66" xfId="0" applyFont="1" applyFill="1" applyBorder="1">
      <alignment vertical="center"/>
    </xf>
    <xf numFmtId="0" fontId="52" fillId="35" borderId="0" xfId="0" applyFont="1" applyFill="1" applyAlignment="1" applyProtection="1">
      <alignment horizontal="left" vertical="center"/>
      <protection hidden="1"/>
    </xf>
    <xf numFmtId="0" fontId="51" fillId="35" borderId="0" xfId="0" applyFont="1" applyFill="1" applyAlignment="1" applyProtection="1">
      <alignment horizontal="right" vertical="center"/>
      <protection hidden="1"/>
    </xf>
    <xf numFmtId="0" fontId="51" fillId="35" borderId="20" xfId="0" applyFont="1" applyFill="1" applyBorder="1" applyAlignment="1" applyProtection="1">
      <alignment horizontal="right" vertical="center"/>
      <protection hidden="1"/>
    </xf>
    <xf numFmtId="0" fontId="116" fillId="35" borderId="74" xfId="0" applyFont="1" applyFill="1" applyBorder="1">
      <alignment vertical="center"/>
    </xf>
    <xf numFmtId="0" fontId="52" fillId="35" borderId="67" xfId="0" applyFont="1" applyFill="1" applyBorder="1" applyAlignment="1" applyProtection="1">
      <alignment horizontal="left" vertical="center"/>
      <protection hidden="1"/>
    </xf>
    <xf numFmtId="0" fontId="51" fillId="35" borderId="94" xfId="0" applyFont="1" applyFill="1" applyBorder="1" applyAlignment="1" applyProtection="1">
      <alignment horizontal="right" vertical="center"/>
      <protection hidden="1"/>
    </xf>
    <xf numFmtId="0" fontId="116" fillId="35" borderId="0" xfId="0" applyFont="1" applyFill="1">
      <alignment vertical="center"/>
    </xf>
    <xf numFmtId="0" fontId="116" fillId="35" borderId="67" xfId="0" applyFont="1" applyFill="1" applyBorder="1">
      <alignment vertical="center"/>
    </xf>
    <xf numFmtId="0" fontId="51" fillId="35" borderId="70" xfId="0" applyFont="1" applyFill="1" applyBorder="1" applyAlignment="1" applyProtection="1">
      <alignment horizontal="right" vertical="center"/>
      <protection hidden="1"/>
    </xf>
    <xf numFmtId="0" fontId="117" fillId="25" borderId="0" xfId="0" applyFont="1" applyFill="1" applyAlignment="1" applyProtection="1">
      <alignment horizontal="right"/>
      <protection hidden="1"/>
    </xf>
    <xf numFmtId="0" fontId="12" fillId="25" borderId="34" xfId="0" applyFont="1" applyFill="1" applyBorder="1" applyProtection="1">
      <alignment vertical="center"/>
      <protection hidden="1"/>
    </xf>
    <xf numFmtId="0" fontId="26" fillId="25" borderId="151" xfId="0" applyFont="1" applyFill="1" applyBorder="1" applyAlignment="1" applyProtection="1">
      <alignment horizontal="left" vertical="center" indent="1"/>
      <protection hidden="1"/>
    </xf>
    <xf numFmtId="0" fontId="26" fillId="25" borderId="152" xfId="0" applyFont="1" applyFill="1" applyBorder="1" applyAlignment="1" applyProtection="1">
      <alignment horizontal="right" vertical="center"/>
      <protection hidden="1"/>
    </xf>
    <xf numFmtId="0" fontId="10" fillId="25" borderId="0" xfId="0" applyFont="1" applyFill="1" applyAlignment="1">
      <alignment horizontal="left" vertical="center"/>
    </xf>
    <xf numFmtId="0" fontId="118" fillId="29" borderId="0" xfId="0" applyFont="1" applyFill="1" applyAlignment="1" applyProtection="1">
      <alignment horizontal="centerContinuous" vertical="center"/>
      <protection hidden="1"/>
    </xf>
    <xf numFmtId="0" fontId="119" fillId="29" borderId="0" xfId="0" applyFont="1" applyFill="1" applyAlignment="1" applyProtection="1">
      <alignment horizontal="centerContinuous" vertical="center"/>
      <protection hidden="1"/>
    </xf>
    <xf numFmtId="0" fontId="118" fillId="29" borderId="0" xfId="0" applyFont="1" applyFill="1" applyAlignment="1" applyProtection="1">
      <alignment horizontal="centerContinuous" vertical="top"/>
      <protection hidden="1"/>
    </xf>
    <xf numFmtId="0" fontId="20" fillId="24" borderId="153" xfId="0" applyFont="1" applyFill="1" applyBorder="1" applyAlignment="1" applyProtection="1">
      <alignment horizontal="center" vertical="center"/>
      <protection locked="0"/>
    </xf>
    <xf numFmtId="0" fontId="18" fillId="0" borderId="139" xfId="0" applyFont="1" applyBorder="1" applyAlignment="1" applyProtection="1">
      <alignment horizontal="center" vertical="center"/>
      <protection hidden="1"/>
    </xf>
    <xf numFmtId="0" fontId="3" fillId="25" borderId="108" xfId="0" applyFont="1" applyFill="1" applyBorder="1" applyAlignment="1">
      <alignment horizontal="left" vertical="center" wrapText="1"/>
    </xf>
    <xf numFmtId="0" fontId="3" fillId="25" borderId="45" xfId="0" applyFont="1" applyFill="1" applyBorder="1" applyAlignment="1">
      <alignment horizontal="left" vertical="center" wrapText="1"/>
    </xf>
    <xf numFmtId="0" fontId="3" fillId="25" borderId="110" xfId="0" applyFont="1" applyFill="1" applyBorder="1" applyAlignment="1">
      <alignment horizontal="left" vertical="center" wrapText="1"/>
    </xf>
    <xf numFmtId="0" fontId="3" fillId="25" borderId="47" xfId="0" applyFont="1" applyFill="1" applyBorder="1" applyAlignment="1">
      <alignment horizontal="left" vertical="center" wrapText="1"/>
    </xf>
    <xf numFmtId="0" fontId="3" fillId="25" borderId="18" xfId="0" applyFont="1" applyFill="1" applyBorder="1" applyAlignment="1">
      <alignment horizontal="left" vertical="center" wrapText="1"/>
    </xf>
    <xf numFmtId="0" fontId="3" fillId="25" borderId="43" xfId="0" applyFont="1" applyFill="1" applyBorder="1" applyAlignment="1">
      <alignment horizontal="left" vertical="center" wrapText="1"/>
    </xf>
    <xf numFmtId="49" fontId="13" fillId="25" borderId="30" xfId="0" applyNumberFormat="1" applyFont="1" applyFill="1" applyBorder="1" applyProtection="1">
      <alignment vertical="center"/>
      <protection hidden="1"/>
    </xf>
    <xf numFmtId="0" fontId="13" fillId="25" borderId="30" xfId="0" applyFont="1" applyFill="1" applyBorder="1" applyProtection="1">
      <alignment vertical="center"/>
      <protection hidden="1"/>
    </xf>
    <xf numFmtId="0" fontId="0" fillId="25" borderId="106" xfId="0" applyFill="1" applyBorder="1" applyProtection="1">
      <alignment vertical="center"/>
      <protection hidden="1"/>
    </xf>
    <xf numFmtId="0" fontId="3" fillId="25" borderId="149" xfId="0" applyFont="1" applyFill="1" applyBorder="1" applyAlignment="1" applyProtection="1">
      <alignment horizontal="left" vertical="center"/>
      <protection hidden="1"/>
    </xf>
    <xf numFmtId="0" fontId="27" fillId="26" borderId="41" xfId="0" applyFont="1" applyFill="1" applyBorder="1" applyAlignment="1" applyProtection="1">
      <alignment horizontal="center" vertical="center"/>
      <protection locked="0" hidden="1"/>
    </xf>
    <xf numFmtId="0" fontId="27" fillId="26" borderId="101" xfId="0" applyFont="1" applyFill="1" applyBorder="1" applyAlignment="1" applyProtection="1">
      <alignment horizontal="center" vertical="center"/>
      <protection locked="0" hidden="1"/>
    </xf>
    <xf numFmtId="180" fontId="5" fillId="25" borderId="118" xfId="0" applyNumberFormat="1" applyFont="1" applyFill="1" applyBorder="1" applyAlignment="1" applyProtection="1">
      <alignment horizontal="centerContinuous" vertical="center"/>
      <protection hidden="1"/>
    </xf>
    <xf numFmtId="0" fontId="5" fillId="25" borderId="118" xfId="0" applyFont="1" applyFill="1" applyBorder="1" applyProtection="1">
      <alignment vertical="center"/>
      <protection hidden="1"/>
    </xf>
    <xf numFmtId="183" fontId="65" fillId="24" borderId="41" xfId="0" applyNumberFormat="1" applyFont="1" applyFill="1" applyBorder="1" applyAlignment="1" applyProtection="1">
      <alignment horizontal="center" vertical="center"/>
      <protection hidden="1"/>
    </xf>
    <xf numFmtId="0" fontId="55" fillId="0" borderId="23" xfId="0" applyFont="1" applyBorder="1" applyAlignment="1" applyProtection="1">
      <alignment horizontal="left" vertical="center"/>
      <protection hidden="1"/>
    </xf>
    <xf numFmtId="194" fontId="72" fillId="25" borderId="154" xfId="0" applyNumberFormat="1" applyFont="1" applyFill="1" applyBorder="1" applyAlignment="1" applyProtection="1">
      <alignment horizontal="center" vertical="center"/>
      <protection hidden="1"/>
    </xf>
    <xf numFmtId="0" fontId="110" fillId="25" borderId="155" xfId="29" applyFont="1" applyFill="1" applyBorder="1" applyAlignment="1" applyProtection="1">
      <alignment horizontal="left" vertical="center" indent="1"/>
      <protection hidden="1"/>
    </xf>
    <xf numFmtId="0" fontId="13" fillId="0" borderId="0" xfId="44" applyFont="1" applyAlignment="1">
      <alignment vertical="center"/>
    </xf>
    <xf numFmtId="180" fontId="13" fillId="0" borderId="0" xfId="44" applyNumberFormat="1" applyFont="1" applyAlignment="1" applyProtection="1">
      <alignment horizontal="left" vertical="center"/>
      <protection hidden="1"/>
    </xf>
    <xf numFmtId="0" fontId="67" fillId="0" borderId="0" xfId="44" applyFont="1" applyAlignment="1" applyProtection="1">
      <alignment vertical="center"/>
      <protection hidden="1"/>
    </xf>
    <xf numFmtId="199" fontId="13" fillId="0" borderId="0" xfId="44" applyNumberFormat="1" applyFont="1" applyAlignment="1">
      <alignment vertical="center"/>
    </xf>
    <xf numFmtId="0" fontId="13" fillId="0" borderId="0" xfId="44" applyFont="1" applyAlignment="1" applyProtection="1">
      <alignment horizontal="left" vertical="center"/>
      <protection hidden="1"/>
    </xf>
    <xf numFmtId="0" fontId="13" fillId="0" borderId="0" xfId="44" applyFont="1" applyAlignment="1" applyProtection="1">
      <alignment vertical="center"/>
      <protection hidden="1"/>
    </xf>
    <xf numFmtId="0" fontId="13" fillId="37" borderId="0" xfId="44" applyFont="1" applyFill="1" applyAlignment="1">
      <alignment vertical="center"/>
    </xf>
    <xf numFmtId="0" fontId="67" fillId="0" borderId="0" xfId="44" applyFont="1" applyAlignment="1">
      <alignment vertical="center"/>
    </xf>
    <xf numFmtId="0" fontId="110" fillId="25" borderId="156" xfId="29" applyFont="1" applyFill="1" applyBorder="1" applyAlignment="1" applyProtection="1">
      <alignment horizontal="left" vertical="center" indent="1"/>
      <protection hidden="1"/>
    </xf>
    <xf numFmtId="0" fontId="21" fillId="0" borderId="0" xfId="0" applyFont="1" applyProtection="1">
      <alignment vertical="center"/>
      <protection hidden="1"/>
    </xf>
    <xf numFmtId="0" fontId="0" fillId="0" borderId="10" xfId="0" applyBorder="1">
      <alignment vertical="center"/>
    </xf>
    <xf numFmtId="0" fontId="10" fillId="0" borderId="0" xfId="0" applyFont="1" applyAlignment="1">
      <alignment horizontal="right" vertical="center"/>
    </xf>
    <xf numFmtId="0" fontId="12" fillId="25" borderId="32" xfId="0" applyFont="1" applyFill="1" applyBorder="1" applyProtection="1">
      <alignment vertical="center"/>
      <protection hidden="1"/>
    </xf>
    <xf numFmtId="0" fontId="0" fillId="25" borderId="35" xfId="0" applyFill="1" applyBorder="1" applyProtection="1">
      <alignment vertical="center"/>
      <protection hidden="1"/>
    </xf>
    <xf numFmtId="0" fontId="0" fillId="25" borderId="36" xfId="0" applyFill="1" applyBorder="1" applyProtection="1">
      <alignment vertical="center"/>
      <protection hidden="1"/>
    </xf>
    <xf numFmtId="0" fontId="13" fillId="0" borderId="74" xfId="0" applyFont="1" applyBorder="1" applyAlignment="1" applyProtection="1">
      <alignment horizontal="left" vertical="center"/>
      <protection hidden="1"/>
    </xf>
    <xf numFmtId="0" fontId="18" fillId="0" borderId="67" xfId="0" applyFont="1" applyBorder="1" applyProtection="1">
      <alignment vertical="center"/>
      <protection hidden="1"/>
    </xf>
    <xf numFmtId="37" fontId="18" fillId="0" borderId="21" xfId="0" applyNumberFormat="1" applyFont="1" applyBorder="1" applyProtection="1">
      <alignment vertical="center"/>
      <protection hidden="1"/>
    </xf>
    <xf numFmtId="182" fontId="13" fillId="0" borderId="18" xfId="0" applyNumberFormat="1" applyFont="1" applyBorder="1" applyProtection="1">
      <alignment vertical="center"/>
      <protection hidden="1"/>
    </xf>
    <xf numFmtId="31" fontId="13" fillId="0" borderId="157" xfId="0" applyNumberFormat="1" applyFont="1" applyBorder="1" applyAlignment="1" applyProtection="1">
      <alignment horizontal="centerContinuous" vertical="center"/>
      <protection hidden="1"/>
    </xf>
    <xf numFmtId="31" fontId="13" fillId="0" borderId="158" xfId="0" applyNumberFormat="1" applyFont="1" applyBorder="1" applyAlignment="1" applyProtection="1">
      <alignment horizontal="centerContinuous" vertical="center"/>
      <protection hidden="1"/>
    </xf>
    <xf numFmtId="31" fontId="13" fillId="0" borderId="159" xfId="0" applyNumberFormat="1" applyFont="1" applyBorder="1" applyAlignment="1" applyProtection="1">
      <alignment horizontal="centerContinuous" vertical="center"/>
      <protection hidden="1"/>
    </xf>
    <xf numFmtId="0" fontId="10" fillId="25" borderId="21" xfId="0" applyFont="1" applyFill="1" applyBorder="1" applyAlignment="1" applyProtection="1">
      <alignment horizontal="center" vertical="center" wrapText="1"/>
      <protection hidden="1"/>
    </xf>
    <xf numFmtId="0" fontId="25" fillId="24" borderId="0" xfId="0" applyFont="1" applyFill="1" applyAlignment="1" applyProtection="1">
      <alignment horizontal="left" vertical="center"/>
      <protection hidden="1"/>
    </xf>
    <xf numFmtId="191" fontId="10" fillId="25" borderId="39" xfId="0" applyNumberFormat="1" applyFont="1" applyFill="1" applyBorder="1" applyAlignment="1" applyProtection="1">
      <alignment horizontal="center" vertical="center" wrapText="1"/>
      <protection hidden="1"/>
    </xf>
    <xf numFmtId="38" fontId="3" fillId="0" borderId="0" xfId="0" applyNumberFormat="1" applyFont="1" applyAlignment="1">
      <alignment horizontal="center" vertical="center"/>
    </xf>
    <xf numFmtId="0" fontId="3" fillId="25" borderId="10" xfId="0" applyFont="1" applyFill="1" applyBorder="1" applyAlignment="1" applyProtection="1">
      <alignment horizontal="centerContinuous" vertical="center"/>
      <protection hidden="1"/>
    </xf>
    <xf numFmtId="0" fontId="3" fillId="0" borderId="48" xfId="0" applyFont="1" applyBorder="1" applyAlignment="1" applyProtection="1">
      <alignment horizontal="center" vertical="center"/>
      <protection hidden="1"/>
    </xf>
    <xf numFmtId="0" fontId="3" fillId="0" borderId="17" xfId="0" applyFont="1" applyBorder="1" applyProtection="1">
      <alignment vertical="center"/>
      <protection hidden="1"/>
    </xf>
    <xf numFmtId="191" fontId="10" fillId="25" borderId="21" xfId="0" applyNumberFormat="1" applyFont="1" applyFill="1" applyBorder="1" applyAlignment="1" applyProtection="1">
      <alignment horizontal="center" vertical="center" wrapText="1"/>
      <protection hidden="1"/>
    </xf>
    <xf numFmtId="191" fontId="10" fillId="25" borderId="39" xfId="0" applyNumberFormat="1" applyFont="1" applyFill="1" applyBorder="1" applyAlignment="1" applyProtection="1">
      <alignment horizontal="center" vertical="center"/>
      <protection hidden="1"/>
    </xf>
    <xf numFmtId="0" fontId="10" fillId="24" borderId="0" xfId="0" applyFont="1" applyFill="1" applyAlignment="1">
      <alignment horizontal="left" vertical="center"/>
    </xf>
    <xf numFmtId="191" fontId="10" fillId="25" borderId="21" xfId="0" applyNumberFormat="1" applyFont="1" applyFill="1" applyBorder="1" applyAlignment="1" applyProtection="1">
      <alignment horizontal="center" vertical="center"/>
      <protection hidden="1"/>
    </xf>
    <xf numFmtId="200" fontId="3" fillId="25" borderId="69" xfId="0" applyNumberFormat="1" applyFont="1" applyFill="1" applyBorder="1" applyAlignment="1" applyProtection="1">
      <alignment horizontal="right" vertical="center"/>
      <protection hidden="1"/>
    </xf>
    <xf numFmtId="191" fontId="3" fillId="25" borderId="39" xfId="0" applyNumberFormat="1" applyFont="1" applyFill="1" applyBorder="1" applyAlignment="1" applyProtection="1">
      <alignment horizontal="right" vertical="center"/>
      <protection hidden="1"/>
    </xf>
    <xf numFmtId="178" fontId="10" fillId="25" borderId="17" xfId="0" applyNumberFormat="1" applyFont="1" applyFill="1" applyBorder="1" applyAlignment="1" applyProtection="1">
      <alignment horizontal="center" vertical="center"/>
      <protection hidden="1"/>
    </xf>
    <xf numFmtId="0" fontId="10" fillId="0" borderId="0" xfId="0" applyFont="1" applyAlignment="1" applyProtection="1">
      <alignment horizontal="left" vertical="center"/>
      <protection hidden="1"/>
    </xf>
    <xf numFmtId="0" fontId="3" fillId="26" borderId="10" xfId="0" applyFont="1" applyFill="1" applyBorder="1">
      <alignment vertical="center"/>
    </xf>
    <xf numFmtId="0" fontId="3" fillId="26" borderId="10" xfId="0" applyFont="1" applyFill="1" applyBorder="1" applyAlignment="1">
      <alignment horizontal="center" vertical="center"/>
    </xf>
    <xf numFmtId="0" fontId="13" fillId="26" borderId="48" xfId="44" applyFont="1" applyFill="1" applyBorder="1" applyAlignment="1" applyProtection="1">
      <alignment horizontal="center" vertical="center"/>
      <protection hidden="1"/>
    </xf>
    <xf numFmtId="0" fontId="3" fillId="26" borderId="10" xfId="44" applyFont="1" applyFill="1" applyBorder="1" applyAlignment="1" applyProtection="1">
      <alignment horizontal="center" vertical="center"/>
      <protection hidden="1"/>
    </xf>
    <xf numFmtId="0" fontId="13" fillId="26" borderId="10" xfId="44" applyFont="1" applyFill="1" applyBorder="1" applyAlignment="1" applyProtection="1">
      <alignment horizontal="center" vertical="center"/>
      <protection hidden="1"/>
    </xf>
    <xf numFmtId="196" fontId="10" fillId="24" borderId="0" xfId="0" applyNumberFormat="1" applyFont="1" applyFill="1" applyAlignment="1" applyProtection="1">
      <alignment horizontal="center" vertical="center"/>
      <protection hidden="1"/>
    </xf>
    <xf numFmtId="0" fontId="10" fillId="24" borderId="0" xfId="0" applyFont="1" applyFill="1" applyProtection="1">
      <alignment vertical="center"/>
      <protection locked="0"/>
    </xf>
    <xf numFmtId="0" fontId="2" fillId="0" borderId="0" xfId="0" applyFont="1" applyAlignment="1">
      <alignment horizontal="center" vertical="center"/>
    </xf>
    <xf numFmtId="0" fontId="2" fillId="0" borderId="21" xfId="0" applyFont="1" applyBorder="1" applyAlignment="1">
      <alignment horizontal="center" vertical="center"/>
    </xf>
    <xf numFmtId="0" fontId="2" fillId="0" borderId="21" xfId="0" applyFont="1" applyBorder="1">
      <alignment vertical="center"/>
    </xf>
    <xf numFmtId="0" fontId="3" fillId="24" borderId="21" xfId="0" applyFont="1" applyFill="1" applyBorder="1" applyProtection="1">
      <alignment vertical="center"/>
      <protection hidden="1"/>
    </xf>
    <xf numFmtId="201" fontId="10" fillId="26" borderId="84" xfId="0" applyNumberFormat="1" applyFont="1" applyFill="1" applyBorder="1" applyAlignment="1" applyProtection="1">
      <alignment horizontal="center" vertical="center"/>
      <protection locked="0" hidden="1"/>
    </xf>
    <xf numFmtId="201" fontId="10" fillId="26" borderId="41" xfId="0" applyNumberFormat="1" applyFont="1" applyFill="1" applyBorder="1" applyAlignment="1" applyProtection="1">
      <alignment horizontal="center" vertical="center"/>
      <protection locked="0" hidden="1"/>
    </xf>
    <xf numFmtId="201" fontId="10" fillId="26" borderId="41" xfId="0" applyNumberFormat="1" applyFont="1" applyFill="1" applyBorder="1" applyAlignment="1" applyProtection="1">
      <alignment horizontal="center" vertical="center"/>
      <protection hidden="1"/>
    </xf>
    <xf numFmtId="201" fontId="10" fillId="26" borderId="41" xfId="0" quotePrefix="1" applyNumberFormat="1" applyFont="1" applyFill="1" applyBorder="1" applyAlignment="1" applyProtection="1">
      <alignment horizontal="center" vertical="center"/>
      <protection locked="0" hidden="1"/>
    </xf>
    <xf numFmtId="0" fontId="65" fillId="24" borderId="0" xfId="0" applyFont="1" applyFill="1" applyProtection="1">
      <alignment vertical="center"/>
      <protection hidden="1"/>
    </xf>
    <xf numFmtId="0" fontId="65" fillId="24" borderId="0" xfId="0" applyFont="1" applyFill="1" applyAlignment="1" applyProtection="1">
      <alignment horizontal="center" vertical="center"/>
      <protection hidden="1"/>
    </xf>
    <xf numFmtId="191" fontId="3" fillId="25" borderId="21" xfId="0" applyNumberFormat="1" applyFont="1" applyFill="1" applyBorder="1" applyAlignment="1" applyProtection="1">
      <alignment horizontal="center" vertical="center" wrapText="1"/>
      <protection hidden="1"/>
    </xf>
    <xf numFmtId="192" fontId="3" fillId="25" borderId="21" xfId="0" applyNumberFormat="1" applyFont="1" applyFill="1" applyBorder="1" applyAlignment="1" applyProtection="1">
      <alignment horizontal="center" vertical="center" wrapText="1"/>
      <protection hidden="1"/>
    </xf>
    <xf numFmtId="192" fontId="3" fillId="25" borderId="51" xfId="0" applyNumberFormat="1" applyFont="1" applyFill="1" applyBorder="1" applyAlignment="1" applyProtection="1">
      <alignment horizontal="center" vertical="center" wrapText="1"/>
      <protection hidden="1"/>
    </xf>
    <xf numFmtId="0" fontId="10" fillId="25" borderId="21" xfId="0" applyFont="1" applyFill="1" applyBorder="1" applyProtection="1">
      <alignment vertical="center"/>
      <protection hidden="1"/>
    </xf>
    <xf numFmtId="179" fontId="27" fillId="24" borderId="0" xfId="0" applyNumberFormat="1" applyFont="1" applyFill="1" applyAlignment="1" applyProtection="1">
      <alignment vertical="center" wrapText="1"/>
      <protection hidden="1"/>
    </xf>
    <xf numFmtId="0" fontId="41" fillId="0" borderId="0" xfId="0" quotePrefix="1" applyFont="1" applyAlignment="1" applyProtection="1">
      <alignment horizontal="left" vertical="center"/>
      <protection hidden="1"/>
    </xf>
    <xf numFmtId="202" fontId="27" fillId="26" borderId="100" xfId="35" applyNumberFormat="1" applyFont="1" applyFill="1" applyBorder="1" applyAlignment="1" applyProtection="1">
      <alignment horizontal="center" vertical="center"/>
      <protection locked="0" hidden="1"/>
    </xf>
    <xf numFmtId="202" fontId="27" fillId="26" borderId="113" xfId="35" applyNumberFormat="1" applyFont="1" applyFill="1" applyBorder="1" applyAlignment="1" applyProtection="1">
      <alignment horizontal="center" vertical="center"/>
      <protection locked="0" hidden="1"/>
    </xf>
    <xf numFmtId="202" fontId="27" fillId="26" borderId="129" xfId="35" applyNumberFormat="1" applyFont="1" applyFill="1" applyBorder="1" applyAlignment="1" applyProtection="1">
      <alignment horizontal="center" vertical="center"/>
      <protection locked="0" hidden="1"/>
    </xf>
    <xf numFmtId="202" fontId="27" fillId="26" borderId="85" xfId="35" applyNumberFormat="1" applyFont="1" applyFill="1" applyBorder="1" applyAlignment="1" applyProtection="1">
      <alignment horizontal="center" vertical="center"/>
      <protection locked="0" hidden="1"/>
    </xf>
    <xf numFmtId="38" fontId="3" fillId="0" borderId="0" xfId="0" applyNumberFormat="1" applyFont="1">
      <alignment vertical="center"/>
    </xf>
    <xf numFmtId="3" fontId="13" fillId="0" borderId="114" xfId="0" applyNumberFormat="1" applyFont="1" applyBorder="1" applyAlignment="1" applyProtection="1">
      <alignment horizontal="left" vertical="center"/>
      <protection hidden="1"/>
    </xf>
    <xf numFmtId="3" fontId="13" fillId="0" borderId="160" xfId="0" applyNumberFormat="1"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3" fontId="3" fillId="0" borderId="161" xfId="0" applyNumberFormat="1" applyFont="1" applyBorder="1" applyAlignment="1" applyProtection="1">
      <alignment horizontal="left" vertical="center"/>
      <protection hidden="1"/>
    </xf>
    <xf numFmtId="0" fontId="122" fillId="28" borderId="75" xfId="0" applyFont="1" applyFill="1" applyBorder="1" applyProtection="1">
      <alignment vertical="center"/>
      <protection hidden="1"/>
    </xf>
    <xf numFmtId="0" fontId="16" fillId="28" borderId="76" xfId="0" applyFont="1" applyFill="1" applyBorder="1" applyAlignment="1" applyProtection="1">
      <alignment horizontal="left" vertical="center"/>
      <protection hidden="1"/>
    </xf>
    <xf numFmtId="0" fontId="16" fillId="28" borderId="76" xfId="0" applyFont="1" applyFill="1" applyBorder="1" applyProtection="1">
      <alignment vertical="center"/>
      <protection hidden="1"/>
    </xf>
    <xf numFmtId="0" fontId="122" fillId="28" borderId="76" xfId="0" applyFont="1" applyFill="1" applyBorder="1" applyProtection="1">
      <alignment vertical="center"/>
      <protection hidden="1"/>
    </xf>
    <xf numFmtId="0" fontId="123" fillId="28" borderId="77" xfId="0" applyFont="1" applyFill="1" applyBorder="1" applyProtection="1">
      <alignment vertical="center"/>
      <protection hidden="1"/>
    </xf>
    <xf numFmtId="0" fontId="58" fillId="24" borderId="24" xfId="0" applyFont="1" applyFill="1" applyBorder="1" applyProtection="1">
      <alignment vertical="center"/>
      <protection hidden="1"/>
    </xf>
    <xf numFmtId="0" fontId="8" fillId="24" borderId="19" xfId="0" applyFont="1" applyFill="1" applyBorder="1" applyAlignment="1" applyProtection="1">
      <alignment horizontal="left" vertical="center"/>
      <protection hidden="1"/>
    </xf>
    <xf numFmtId="0" fontId="32" fillId="24" borderId="19" xfId="0" applyFont="1" applyFill="1" applyBorder="1" applyProtection="1">
      <alignment vertical="center"/>
      <protection hidden="1"/>
    </xf>
    <xf numFmtId="0" fontId="11" fillId="24" borderId="19" xfId="0" applyFont="1" applyFill="1" applyBorder="1" applyProtection="1">
      <alignment vertical="center"/>
      <protection hidden="1"/>
    </xf>
    <xf numFmtId="0" fontId="11" fillId="24" borderId="25" xfId="0" applyFont="1" applyFill="1" applyBorder="1" applyProtection="1">
      <alignment vertical="center"/>
      <protection hidden="1"/>
    </xf>
    <xf numFmtId="0" fontId="65" fillId="24" borderId="0" xfId="0" applyFont="1" applyFill="1" applyAlignment="1" applyProtection="1">
      <alignment horizontal="left" vertical="center"/>
      <protection hidden="1"/>
    </xf>
    <xf numFmtId="184" fontId="3" fillId="24" borderId="0" xfId="0" applyNumberFormat="1" applyFont="1" applyFill="1" applyProtection="1">
      <alignment vertical="center"/>
      <protection hidden="1"/>
    </xf>
    <xf numFmtId="0" fontId="124" fillId="31" borderId="76" xfId="0" applyFont="1" applyFill="1" applyBorder="1" applyAlignment="1">
      <alignment horizontal="center" vertical="center"/>
    </xf>
    <xf numFmtId="0" fontId="124" fillId="31" borderId="76" xfId="0" applyFont="1" applyFill="1" applyBorder="1">
      <alignment vertical="center"/>
    </xf>
    <xf numFmtId="183" fontId="14" fillId="27" borderId="84" xfId="0" applyNumberFormat="1" applyFont="1" applyFill="1" applyBorder="1" applyAlignment="1" applyProtection="1">
      <alignment horizontal="center" vertical="center"/>
      <protection hidden="1"/>
    </xf>
    <xf numFmtId="183" fontId="14" fillId="27" borderId="81" xfId="0" applyNumberFormat="1" applyFont="1" applyFill="1" applyBorder="1" applyAlignment="1" applyProtection="1">
      <alignment horizontal="center" vertical="center"/>
      <protection hidden="1"/>
    </xf>
    <xf numFmtId="0" fontId="13" fillId="0" borderId="0" xfId="0" applyFont="1" applyAlignment="1">
      <alignment horizontal="left" vertical="center"/>
    </xf>
    <xf numFmtId="177" fontId="3" fillId="25" borderId="10" xfId="0" applyNumberFormat="1" applyFont="1" applyFill="1" applyBorder="1">
      <alignment vertical="center"/>
    </xf>
    <xf numFmtId="177" fontId="3" fillId="25" borderId="48" xfId="0" applyNumberFormat="1" applyFont="1" applyFill="1" applyBorder="1">
      <alignment vertical="center"/>
    </xf>
    <xf numFmtId="9" fontId="3" fillId="25" borderId="10" xfId="0" applyNumberFormat="1" applyFont="1" applyFill="1" applyBorder="1">
      <alignment vertical="center"/>
    </xf>
    <xf numFmtId="9" fontId="10" fillId="25" borderId="10" xfId="28" applyFont="1" applyFill="1" applyBorder="1" applyAlignment="1" applyProtection="1">
      <alignment vertical="center"/>
    </xf>
    <xf numFmtId="176" fontId="27" fillId="25" borderId="41" xfId="0" applyNumberFormat="1" applyFont="1" applyFill="1" applyBorder="1">
      <alignment vertical="center"/>
    </xf>
    <xf numFmtId="0" fontId="21" fillId="0" borderId="0" xfId="0" applyFont="1" applyAlignment="1" applyProtection="1">
      <alignment horizontal="right" vertical="center"/>
      <protection hidden="1"/>
    </xf>
    <xf numFmtId="0" fontId="8" fillId="0" borderId="0" xfId="0" applyFont="1" applyAlignment="1">
      <alignment horizontal="left"/>
    </xf>
    <xf numFmtId="180" fontId="7" fillId="0" borderId="0" xfId="0" applyNumberFormat="1" applyFont="1" applyAlignment="1">
      <alignment horizontal="left"/>
    </xf>
    <xf numFmtId="183" fontId="13" fillId="0" borderId="0" xfId="0" applyNumberFormat="1" applyFont="1">
      <alignment vertical="center"/>
    </xf>
    <xf numFmtId="184" fontId="13" fillId="0" borderId="0" xfId="0" applyNumberFormat="1" applyFont="1">
      <alignment vertical="center"/>
    </xf>
    <xf numFmtId="0" fontId="122" fillId="28" borderId="75" xfId="0" applyFont="1" applyFill="1" applyBorder="1">
      <alignment vertical="center"/>
    </xf>
    <xf numFmtId="0" fontId="16" fillId="28" borderId="76" xfId="0" applyFont="1" applyFill="1" applyBorder="1" applyAlignment="1">
      <alignment horizontal="left" vertical="center"/>
    </xf>
    <xf numFmtId="0" fontId="16" fillId="28" borderId="76" xfId="0" applyFont="1" applyFill="1" applyBorder="1">
      <alignment vertical="center"/>
    </xf>
    <xf numFmtId="0" fontId="122" fillId="28" borderId="76" xfId="0" applyFont="1" applyFill="1" applyBorder="1">
      <alignment vertical="center"/>
    </xf>
    <xf numFmtId="0" fontId="123" fillId="28" borderId="77" xfId="0" applyFont="1" applyFill="1" applyBorder="1">
      <alignment vertical="center"/>
    </xf>
    <xf numFmtId="0" fontId="65" fillId="24" borderId="0" xfId="0" applyFont="1" applyFill="1" applyAlignment="1">
      <alignment horizontal="left" vertical="center"/>
    </xf>
    <xf numFmtId="0" fontId="58" fillId="24" borderId="24" xfId="0" applyFont="1" applyFill="1" applyBorder="1">
      <alignment vertical="center"/>
    </xf>
    <xf numFmtId="0" fontId="8" fillId="24" borderId="19" xfId="0" applyFont="1" applyFill="1" applyBorder="1" applyAlignment="1">
      <alignment horizontal="left" vertical="center"/>
    </xf>
    <xf numFmtId="0" fontId="32" fillId="24" borderId="19" xfId="0" applyFont="1" applyFill="1" applyBorder="1">
      <alignment vertical="center"/>
    </xf>
    <xf numFmtId="0" fontId="11" fillId="24" borderId="19" xfId="0" applyFont="1" applyFill="1" applyBorder="1">
      <alignment vertical="center"/>
    </xf>
    <xf numFmtId="0" fontId="11" fillId="24" borderId="25" xfId="0" applyFont="1" applyFill="1" applyBorder="1">
      <alignment vertical="center"/>
    </xf>
    <xf numFmtId="184" fontId="3" fillId="24" borderId="0" xfId="0" applyNumberFormat="1" applyFont="1" applyFill="1">
      <alignment vertical="center"/>
    </xf>
    <xf numFmtId="0" fontId="13" fillId="0" borderId="0" xfId="44" applyFont="1" applyAlignment="1">
      <alignment horizontal="left" vertical="center"/>
    </xf>
    <xf numFmtId="180" fontId="13" fillId="0" borderId="0" xfId="44" applyNumberFormat="1" applyFont="1" applyAlignment="1">
      <alignment horizontal="left" vertical="center"/>
    </xf>
    <xf numFmtId="0" fontId="15" fillId="31" borderId="76" xfId="44" applyFont="1" applyFill="1" applyBorder="1" applyAlignment="1">
      <alignment vertical="center"/>
    </xf>
    <xf numFmtId="0" fontId="15" fillId="31" borderId="76" xfId="44" applyFont="1" applyFill="1" applyBorder="1" applyAlignment="1">
      <alignment horizontal="left" vertical="center"/>
    </xf>
    <xf numFmtId="0" fontId="124" fillId="31" borderId="76" xfId="44" applyFont="1" applyFill="1" applyBorder="1" applyAlignment="1">
      <alignment vertical="center"/>
    </xf>
    <xf numFmtId="0" fontId="16" fillId="31" borderId="76" xfId="0" applyFont="1" applyFill="1" applyBorder="1">
      <alignment vertical="center"/>
    </xf>
    <xf numFmtId="0" fontId="15" fillId="31" borderId="77" xfId="44" applyFont="1" applyFill="1" applyBorder="1" applyAlignment="1">
      <alignment vertical="center"/>
    </xf>
    <xf numFmtId="0" fontId="50" fillId="25" borderId="0" xfId="44" applyFont="1" applyFill="1" applyAlignment="1">
      <alignment vertical="center"/>
    </xf>
    <xf numFmtId="0" fontId="13" fillId="25" borderId="0" xfId="44" applyFont="1" applyFill="1" applyAlignment="1">
      <alignment horizontal="left" vertical="center"/>
    </xf>
    <xf numFmtId="0" fontId="13" fillId="25" borderId="0" xfId="44" applyFont="1" applyFill="1" applyAlignment="1">
      <alignment vertical="center"/>
    </xf>
    <xf numFmtId="0" fontId="96" fillId="25" borderId="0" xfId="44" applyFont="1" applyFill="1" applyAlignment="1">
      <alignment vertical="center"/>
    </xf>
    <xf numFmtId="0" fontId="15" fillId="25" borderId="0" xfId="44" applyFont="1" applyFill="1" applyAlignment="1">
      <alignment vertical="center"/>
    </xf>
    <xf numFmtId="0" fontId="50" fillId="25" borderId="0" xfId="44" applyFont="1" applyFill="1" applyAlignment="1">
      <alignment horizontal="left" vertical="center"/>
    </xf>
    <xf numFmtId="180" fontId="13" fillId="25" borderId="0" xfId="44" applyNumberFormat="1" applyFont="1" applyFill="1" applyAlignment="1">
      <alignment horizontal="center" vertical="center"/>
    </xf>
    <xf numFmtId="0" fontId="33" fillId="25" borderId="0" xfId="44" applyFont="1" applyFill="1" applyAlignment="1">
      <alignment vertical="center"/>
    </xf>
    <xf numFmtId="0" fontId="13" fillId="25" borderId="0" xfId="44" applyFont="1" applyFill="1" applyAlignment="1">
      <alignment horizontal="center" vertical="center"/>
    </xf>
    <xf numFmtId="0" fontId="13" fillId="26" borderId="10" xfId="44" applyFont="1" applyFill="1" applyBorder="1" applyAlignment="1">
      <alignment horizontal="center" vertical="center"/>
    </xf>
    <xf numFmtId="0" fontId="13" fillId="26" borderId="48" xfId="44" applyFont="1" applyFill="1" applyBorder="1" applyAlignment="1">
      <alignment horizontal="center" vertical="center"/>
    </xf>
    <xf numFmtId="0" fontId="13" fillId="26" borderId="162" xfId="44" applyFont="1" applyFill="1" applyBorder="1" applyAlignment="1">
      <alignment horizontal="center" vertical="center"/>
    </xf>
    <xf numFmtId="0" fontId="13" fillId="25" borderId="66" xfId="44" applyFont="1" applyFill="1" applyBorder="1" applyAlignment="1">
      <alignment vertical="center"/>
    </xf>
    <xf numFmtId="9" fontId="13" fillId="25" borderId="10" xfId="44" applyNumberFormat="1" applyFont="1" applyFill="1" applyBorder="1" applyAlignment="1">
      <alignment horizontal="right" vertical="center"/>
    </xf>
    <xf numFmtId="176" fontId="13" fillId="25" borderId="119" xfId="44" applyNumberFormat="1" applyFont="1" applyFill="1" applyBorder="1" applyAlignment="1">
      <alignment horizontal="center" vertical="center"/>
    </xf>
    <xf numFmtId="176" fontId="13" fillId="25" borderId="0" xfId="44" applyNumberFormat="1" applyFont="1" applyFill="1" applyAlignment="1">
      <alignment horizontal="center" vertical="center"/>
    </xf>
    <xf numFmtId="0" fontId="13" fillId="25" borderId="11" xfId="44" applyFont="1" applyFill="1" applyBorder="1" applyAlignment="1">
      <alignment vertical="center"/>
    </xf>
    <xf numFmtId="0" fontId="13" fillId="25" borderId="69" xfId="44" applyFont="1" applyFill="1" applyBorder="1" applyAlignment="1">
      <alignment vertical="center"/>
    </xf>
    <xf numFmtId="0" fontId="67" fillId="25" borderId="0" xfId="44" applyFont="1" applyFill="1" applyAlignment="1">
      <alignment vertical="center"/>
    </xf>
    <xf numFmtId="176" fontId="13" fillId="25" borderId="163" xfId="44" applyNumberFormat="1" applyFont="1" applyFill="1" applyBorder="1" applyAlignment="1">
      <alignment horizontal="center" vertical="center"/>
    </xf>
    <xf numFmtId="0" fontId="2" fillId="25" borderId="0" xfId="44" applyFill="1" applyAlignment="1">
      <alignment vertical="center"/>
    </xf>
    <xf numFmtId="0" fontId="13" fillId="25" borderId="0" xfId="44" applyFont="1" applyFill="1" applyAlignment="1">
      <alignment horizontal="right" vertical="center"/>
    </xf>
    <xf numFmtId="0" fontId="13" fillId="25" borderId="39" xfId="44" applyFont="1" applyFill="1" applyBorder="1" applyAlignment="1">
      <alignment vertical="center"/>
    </xf>
    <xf numFmtId="0" fontId="67" fillId="25" borderId="17" xfId="44" applyFont="1" applyFill="1" applyBorder="1" applyAlignment="1">
      <alignment vertical="center"/>
    </xf>
    <xf numFmtId="177" fontId="2" fillId="25" borderId="162" xfId="44" applyNumberFormat="1" applyFill="1" applyBorder="1" applyAlignment="1">
      <alignment vertical="center"/>
    </xf>
    <xf numFmtId="180" fontId="13" fillId="25" borderId="0" xfId="44" applyNumberFormat="1" applyFont="1" applyFill="1" applyAlignment="1">
      <alignment horizontal="left" vertical="center"/>
    </xf>
    <xf numFmtId="40" fontId="2" fillId="25" borderId="162" xfId="35" applyNumberFormat="1" applyFont="1" applyFill="1" applyBorder="1" applyAlignment="1" applyProtection="1">
      <alignment vertical="center"/>
    </xf>
    <xf numFmtId="199" fontId="13" fillId="25" borderId="0" xfId="44" applyNumberFormat="1" applyFont="1" applyFill="1" applyAlignment="1">
      <alignment vertical="center"/>
    </xf>
    <xf numFmtId="199" fontId="13" fillId="25" borderId="0" xfId="44" applyNumberFormat="1" applyFont="1" applyFill="1" applyAlignment="1">
      <alignment horizontal="left" vertical="center"/>
    </xf>
    <xf numFmtId="38" fontId="13" fillId="25" borderId="0" xfId="35" applyFont="1" applyFill="1" applyBorder="1" applyAlignment="1" applyProtection="1">
      <alignment horizontal="right" vertical="center"/>
    </xf>
    <xf numFmtId="38" fontId="13" fillId="25" borderId="0" xfId="35" applyFont="1" applyFill="1" applyBorder="1" applyAlignment="1" applyProtection="1">
      <alignment vertical="center"/>
    </xf>
    <xf numFmtId="0" fontId="13" fillId="25" borderId="67" xfId="44" applyFont="1" applyFill="1" applyBorder="1" applyAlignment="1">
      <alignment horizontal="left" vertical="center"/>
    </xf>
    <xf numFmtId="0" fontId="13" fillId="25" borderId="67" xfId="44" applyFont="1" applyFill="1" applyBorder="1" applyAlignment="1">
      <alignment vertical="center"/>
    </xf>
    <xf numFmtId="0" fontId="13" fillId="25" borderId="66" xfId="44" applyFont="1" applyFill="1" applyBorder="1" applyAlignment="1">
      <alignment horizontal="left" vertical="center"/>
    </xf>
    <xf numFmtId="0" fontId="13" fillId="25" borderId="94" xfId="44" applyFont="1" applyFill="1" applyBorder="1" applyAlignment="1">
      <alignment horizontal="right" vertical="center"/>
    </xf>
    <xf numFmtId="0" fontId="67" fillId="25" borderId="10" xfId="44" applyFont="1" applyFill="1" applyBorder="1" applyAlignment="1">
      <alignment vertical="center"/>
    </xf>
    <xf numFmtId="177" fontId="67" fillId="25" borderId="10" xfId="44" applyNumberFormat="1" applyFont="1" applyFill="1" applyBorder="1" applyAlignment="1">
      <alignment vertical="center"/>
    </xf>
    <xf numFmtId="176" fontId="13" fillId="25" borderId="10" xfId="44" applyNumberFormat="1" applyFont="1" applyFill="1" applyBorder="1" applyAlignment="1">
      <alignment horizontal="center" vertical="center"/>
    </xf>
    <xf numFmtId="0" fontId="13" fillId="25" borderId="11" xfId="44" applyFont="1" applyFill="1" applyBorder="1" applyAlignment="1">
      <alignment horizontal="left" vertical="center"/>
    </xf>
    <xf numFmtId="0" fontId="13" fillId="25" borderId="16" xfId="44" applyFont="1" applyFill="1" applyBorder="1" applyAlignment="1">
      <alignment horizontal="right" vertical="center"/>
    </xf>
    <xf numFmtId="0" fontId="13" fillId="25" borderId="69" xfId="44" applyFont="1" applyFill="1" applyBorder="1" applyAlignment="1">
      <alignment horizontal="left" vertical="center"/>
    </xf>
    <xf numFmtId="0" fontId="13" fillId="25" borderId="21" xfId="44" applyFont="1" applyFill="1" applyBorder="1" applyAlignment="1">
      <alignment vertical="center"/>
    </xf>
    <xf numFmtId="0" fontId="13" fillId="25" borderId="51" xfId="44" applyFont="1" applyFill="1" applyBorder="1" applyAlignment="1">
      <alignment horizontal="right" vertical="center"/>
    </xf>
    <xf numFmtId="0" fontId="13" fillId="25" borderId="48" xfId="44" applyFont="1" applyFill="1" applyBorder="1" applyAlignment="1">
      <alignment horizontal="left" vertical="center"/>
    </xf>
    <xf numFmtId="0" fontId="67" fillId="25" borderId="94" xfId="44" applyFont="1" applyFill="1" applyBorder="1" applyAlignment="1">
      <alignment vertical="center"/>
    </xf>
    <xf numFmtId="176" fontId="67" fillId="25" borderId="0" xfId="44" applyNumberFormat="1" applyFont="1" applyFill="1" applyAlignment="1">
      <alignment vertical="center"/>
    </xf>
    <xf numFmtId="176" fontId="13" fillId="25" borderId="0" xfId="44" applyNumberFormat="1" applyFont="1" applyFill="1" applyAlignment="1">
      <alignment vertical="center"/>
    </xf>
    <xf numFmtId="176" fontId="13" fillId="25" borderId="0" xfId="44" applyNumberFormat="1" applyFont="1" applyFill="1" applyAlignment="1">
      <alignment horizontal="left" vertical="center"/>
    </xf>
    <xf numFmtId="178" fontId="2" fillId="25" borderId="41" xfId="44" applyNumberFormat="1" applyFill="1" applyBorder="1" applyAlignment="1">
      <alignment horizontal="right" vertical="center"/>
    </xf>
    <xf numFmtId="178" fontId="13" fillId="25" borderId="0" xfId="44" applyNumberFormat="1" applyFont="1" applyFill="1" applyAlignment="1">
      <alignment horizontal="right" vertical="center"/>
    </xf>
    <xf numFmtId="38" fontId="67" fillId="25" borderId="10" xfId="35" applyFont="1" applyFill="1" applyBorder="1" applyAlignment="1" applyProtection="1">
      <alignment vertical="center"/>
    </xf>
    <xf numFmtId="38" fontId="13" fillId="25" borderId="10" xfId="35" applyFont="1" applyFill="1" applyBorder="1" applyAlignment="1" applyProtection="1">
      <alignment horizontal="center" vertical="center"/>
    </xf>
    <xf numFmtId="40" fontId="2" fillId="25" borderId="162" xfId="44" applyNumberFormat="1" applyFill="1" applyBorder="1" applyAlignment="1">
      <alignment vertical="center"/>
    </xf>
    <xf numFmtId="0" fontId="2" fillId="25" borderId="48" xfId="44" applyFill="1" applyBorder="1" applyAlignment="1">
      <alignment horizontal="left" vertical="center"/>
    </xf>
    <xf numFmtId="183" fontId="62" fillId="25" borderId="91" xfId="0" applyNumberFormat="1" applyFont="1" applyFill="1" applyBorder="1" applyAlignment="1" applyProtection="1">
      <alignment horizontal="center" vertical="center" wrapText="1"/>
      <protection hidden="1"/>
    </xf>
    <xf numFmtId="0" fontId="67" fillId="33" borderId="10" xfId="0" applyFont="1" applyFill="1" applyBorder="1">
      <alignment vertical="center"/>
    </xf>
    <xf numFmtId="189" fontId="5" fillId="26" borderId="100" xfId="0" applyNumberFormat="1" applyFont="1" applyFill="1" applyBorder="1" applyAlignment="1" applyProtection="1">
      <alignment horizontal="center" vertical="center"/>
      <protection locked="0"/>
    </xf>
    <xf numFmtId="189" fontId="5" fillId="26" borderId="113" xfId="0" applyNumberFormat="1" applyFont="1" applyFill="1" applyBorder="1" applyAlignment="1" applyProtection="1">
      <alignment horizontal="center" vertical="center"/>
      <protection locked="0"/>
    </xf>
    <xf numFmtId="189" fontId="5" fillId="26" borderId="101" xfId="0" applyNumberFormat="1" applyFont="1" applyFill="1" applyBorder="1" applyAlignment="1" applyProtection="1">
      <alignment horizontal="center" vertical="center"/>
      <protection locked="0"/>
    </xf>
    <xf numFmtId="0" fontId="0" fillId="0" borderId="39" xfId="0" applyBorder="1">
      <alignment vertical="center"/>
    </xf>
    <xf numFmtId="0" fontId="0" fillId="0" borderId="17" xfId="0" applyBorder="1">
      <alignment vertical="center"/>
    </xf>
    <xf numFmtId="180" fontId="3" fillId="39" borderId="23" xfId="0" applyNumberFormat="1" applyFont="1" applyFill="1" applyBorder="1" applyAlignment="1" applyProtection="1">
      <alignment horizontal="left" vertical="center" shrinkToFit="1"/>
      <protection locked="0"/>
    </xf>
    <xf numFmtId="180" fontId="3" fillId="39" borderId="0" xfId="0" applyNumberFormat="1" applyFont="1" applyFill="1" applyAlignment="1" applyProtection="1">
      <alignment horizontal="left" vertical="center" shrinkToFit="1"/>
      <protection locked="0"/>
    </xf>
    <xf numFmtId="180" fontId="7" fillId="39" borderId="0" xfId="0" applyNumberFormat="1" applyFont="1" applyFill="1" applyAlignment="1" applyProtection="1">
      <alignment horizontal="left" shrinkToFit="1"/>
      <protection locked="0"/>
    </xf>
    <xf numFmtId="180" fontId="3" fillId="39" borderId="74" xfId="0" applyNumberFormat="1" applyFont="1" applyFill="1" applyBorder="1" applyAlignment="1" applyProtection="1">
      <alignment horizontal="left" vertical="center" shrinkToFit="1"/>
      <protection locked="0"/>
    </xf>
    <xf numFmtId="180" fontId="3" fillId="39" borderId="67" xfId="0" applyNumberFormat="1" applyFont="1" applyFill="1" applyBorder="1" applyAlignment="1" applyProtection="1">
      <alignment horizontal="left" vertical="center" shrinkToFit="1"/>
      <protection locked="0"/>
    </xf>
    <xf numFmtId="180" fontId="7" fillId="39" borderId="67" xfId="0" applyNumberFormat="1" applyFont="1" applyFill="1" applyBorder="1" applyAlignment="1" applyProtection="1">
      <alignment horizontal="left" shrinkToFit="1"/>
      <protection locked="0"/>
    </xf>
    <xf numFmtId="180" fontId="3" fillId="39" borderId="23" xfId="0" applyNumberFormat="1" applyFont="1" applyFill="1" applyBorder="1" applyAlignment="1">
      <alignment horizontal="left" vertical="center" shrinkToFit="1"/>
    </xf>
    <xf numFmtId="180" fontId="3" fillId="39" borderId="0" xfId="0" applyNumberFormat="1" applyFont="1" applyFill="1" applyAlignment="1">
      <alignment horizontal="left" vertical="center" shrinkToFit="1"/>
    </xf>
    <xf numFmtId="180" fontId="7" fillId="39" borderId="0" xfId="0" applyNumberFormat="1" applyFont="1" applyFill="1" applyAlignment="1">
      <alignment horizontal="left" shrinkToFit="1"/>
    </xf>
    <xf numFmtId="180" fontId="3" fillId="39" borderId="38" xfId="0" applyNumberFormat="1" applyFont="1" applyFill="1" applyBorder="1" applyAlignment="1">
      <alignment horizontal="left" vertical="center" shrinkToFit="1"/>
    </xf>
    <xf numFmtId="180" fontId="3" fillId="39" borderId="39" xfId="0" applyNumberFormat="1" applyFont="1" applyFill="1" applyBorder="1" applyAlignment="1">
      <alignment horizontal="left" vertical="center" shrinkToFit="1"/>
    </xf>
    <xf numFmtId="180" fontId="7" fillId="39" borderId="39" xfId="0" applyNumberFormat="1" applyFont="1" applyFill="1" applyBorder="1" applyAlignment="1">
      <alignment horizontal="left" shrinkToFit="1"/>
    </xf>
    <xf numFmtId="180" fontId="7" fillId="26" borderId="71" xfId="0" applyNumberFormat="1" applyFont="1" applyFill="1" applyBorder="1" applyAlignment="1" applyProtection="1">
      <alignment horizontal="left" vertical="center" shrinkToFit="1"/>
      <protection hidden="1"/>
    </xf>
    <xf numFmtId="180" fontId="7" fillId="26" borderId="72" xfId="0" applyNumberFormat="1" applyFont="1" applyFill="1" applyBorder="1" applyAlignment="1" applyProtection="1">
      <alignment horizontal="left" vertical="center" shrinkToFit="1"/>
      <protection hidden="1"/>
    </xf>
    <xf numFmtId="180" fontId="7" fillId="26" borderId="72" xfId="0" applyNumberFormat="1" applyFont="1" applyFill="1" applyBorder="1" applyAlignment="1" applyProtection="1">
      <alignment horizontal="left" shrinkToFit="1"/>
      <protection hidden="1"/>
    </xf>
    <xf numFmtId="180" fontId="3" fillId="39" borderId="118" xfId="0" applyNumberFormat="1" applyFont="1" applyFill="1" applyBorder="1" applyAlignment="1">
      <alignment horizontal="left" vertical="center" shrinkToFit="1"/>
    </xf>
    <xf numFmtId="180" fontId="3" fillId="39" borderId="21" xfId="0" applyNumberFormat="1" applyFont="1" applyFill="1" applyBorder="1" applyAlignment="1">
      <alignment horizontal="left" vertical="center" shrinkToFit="1"/>
    </xf>
    <xf numFmtId="180" fontId="3" fillId="39" borderId="65" xfId="0" applyNumberFormat="1" applyFont="1" applyFill="1" applyBorder="1" applyAlignment="1">
      <alignment horizontal="left" vertical="center" shrinkToFit="1"/>
    </xf>
    <xf numFmtId="180" fontId="7" fillId="39" borderId="65" xfId="0" applyNumberFormat="1" applyFont="1" applyFill="1" applyBorder="1" applyAlignment="1">
      <alignment horizontal="left" shrinkToFit="1"/>
    </xf>
    <xf numFmtId="180" fontId="7" fillId="39" borderId="16" xfId="0" applyNumberFormat="1" applyFont="1" applyFill="1" applyBorder="1" applyAlignment="1">
      <alignment horizontal="left" shrinkToFit="1"/>
    </xf>
    <xf numFmtId="180" fontId="7" fillId="27" borderId="75" xfId="0" applyNumberFormat="1" applyFont="1" applyFill="1" applyBorder="1" applyAlignment="1" applyProtection="1">
      <alignment horizontal="left" vertical="center" shrinkToFit="1"/>
      <protection hidden="1"/>
    </xf>
    <xf numFmtId="180" fontId="7" fillId="27" borderId="76" xfId="0" applyNumberFormat="1" applyFont="1" applyFill="1" applyBorder="1" applyAlignment="1" applyProtection="1">
      <alignment horizontal="left" vertical="center" shrinkToFit="1"/>
      <protection hidden="1"/>
    </xf>
    <xf numFmtId="180" fontId="7" fillId="27" borderId="76" xfId="0" applyNumberFormat="1" applyFont="1" applyFill="1" applyBorder="1" applyAlignment="1" applyProtection="1">
      <alignment horizontal="left" shrinkToFit="1"/>
      <protection hidden="1"/>
    </xf>
    <xf numFmtId="180" fontId="7" fillId="26" borderId="57" xfId="0" applyNumberFormat="1" applyFont="1" applyFill="1" applyBorder="1" applyAlignment="1" applyProtection="1">
      <alignment horizontal="left" vertical="center" shrinkToFit="1"/>
      <protection hidden="1"/>
    </xf>
    <xf numFmtId="180" fontId="7" fillId="26" borderId="58" xfId="0" applyNumberFormat="1" applyFont="1" applyFill="1" applyBorder="1" applyAlignment="1" applyProtection="1">
      <alignment horizontal="left" vertical="center" shrinkToFit="1"/>
      <protection hidden="1"/>
    </xf>
    <xf numFmtId="180" fontId="7" fillId="26" borderId="58" xfId="0" applyNumberFormat="1" applyFont="1" applyFill="1" applyBorder="1" applyAlignment="1" applyProtection="1">
      <alignment horizontal="left" shrinkToFit="1"/>
      <protection hidden="1"/>
    </xf>
    <xf numFmtId="180" fontId="3" fillId="39" borderId="74" xfId="0" applyNumberFormat="1" applyFont="1" applyFill="1" applyBorder="1" applyAlignment="1">
      <alignment horizontal="left" vertical="center" shrinkToFit="1"/>
    </xf>
    <xf numFmtId="180" fontId="3" fillId="39" borderId="67" xfId="0" applyNumberFormat="1" applyFont="1" applyFill="1" applyBorder="1" applyAlignment="1">
      <alignment horizontal="left" vertical="center" shrinkToFit="1"/>
    </xf>
    <xf numFmtId="180" fontId="3" fillId="39" borderId="164" xfId="0" applyNumberFormat="1" applyFont="1" applyFill="1" applyBorder="1" applyAlignment="1">
      <alignment horizontal="left" vertical="center" shrinkToFit="1"/>
    </xf>
    <xf numFmtId="180" fontId="7" fillId="39" borderId="124" xfId="0" applyNumberFormat="1" applyFont="1" applyFill="1" applyBorder="1" applyAlignment="1">
      <alignment horizontal="left" shrinkToFit="1"/>
    </xf>
    <xf numFmtId="180" fontId="7" fillId="39" borderId="67" xfId="0" applyNumberFormat="1" applyFont="1" applyFill="1" applyBorder="1" applyAlignment="1">
      <alignment horizontal="left" shrinkToFit="1"/>
    </xf>
    <xf numFmtId="180" fontId="7" fillId="39" borderId="21" xfId="0" applyNumberFormat="1" applyFont="1" applyFill="1" applyBorder="1" applyAlignment="1">
      <alignment horizontal="left" shrinkToFit="1"/>
    </xf>
    <xf numFmtId="177" fontId="67" fillId="25" borderId="48" xfId="44" applyNumberFormat="1" applyFont="1" applyFill="1" applyBorder="1" applyAlignment="1">
      <alignment vertical="center"/>
    </xf>
    <xf numFmtId="177" fontId="2" fillId="25" borderId="162" xfId="28" applyNumberFormat="1" applyFont="1" applyFill="1" applyBorder="1" applyAlignment="1" applyProtection="1">
      <alignment horizontal="center" vertical="center"/>
    </xf>
    <xf numFmtId="177" fontId="2" fillId="25" borderId="165" xfId="28" applyNumberFormat="1" applyFont="1" applyFill="1" applyBorder="1" applyAlignment="1" applyProtection="1">
      <alignment horizontal="center" vertical="center"/>
    </xf>
    <xf numFmtId="40" fontId="2" fillId="25" borderId="165" xfId="44" applyNumberFormat="1" applyFill="1" applyBorder="1" applyAlignment="1">
      <alignment vertical="center"/>
    </xf>
    <xf numFmtId="176" fontId="13" fillId="25" borderId="87" xfId="44" applyNumberFormat="1" applyFont="1" applyFill="1" applyBorder="1" applyAlignment="1">
      <alignment horizontal="center" vertical="center"/>
    </xf>
    <xf numFmtId="176" fontId="13" fillId="25" borderId="126" xfId="44" applyNumberFormat="1" applyFont="1" applyFill="1" applyBorder="1" applyAlignment="1">
      <alignment horizontal="center" vertical="center"/>
    </xf>
    <xf numFmtId="176" fontId="13" fillId="25" borderId="38" xfId="44" applyNumberFormat="1" applyFont="1" applyFill="1" applyBorder="1" applyAlignment="1">
      <alignment horizontal="center" vertical="center"/>
    </xf>
    <xf numFmtId="176" fontId="13" fillId="25" borderId="109" xfId="44" applyNumberFormat="1" applyFont="1" applyFill="1" applyBorder="1" applyAlignment="1">
      <alignment horizontal="center" vertical="center"/>
    </xf>
    <xf numFmtId="177" fontId="2" fillId="25" borderId="166" xfId="44" applyNumberFormat="1" applyFill="1" applyBorder="1" applyAlignment="1">
      <alignment vertical="center"/>
    </xf>
    <xf numFmtId="176" fontId="13" fillId="25" borderId="41" xfId="44" applyNumberFormat="1" applyFont="1" applyFill="1" applyBorder="1" applyAlignment="1">
      <alignment horizontal="center" vertical="center"/>
    </xf>
    <xf numFmtId="180" fontId="13" fillId="26" borderId="98" xfId="44" applyNumberFormat="1" applyFont="1" applyFill="1" applyBorder="1" applyAlignment="1">
      <alignment horizontal="center" vertical="center"/>
    </xf>
    <xf numFmtId="0" fontId="13" fillId="26" borderId="167" xfId="44" applyFont="1" applyFill="1" applyBorder="1" applyAlignment="1">
      <alignment vertical="center"/>
    </xf>
    <xf numFmtId="0" fontId="13" fillId="26" borderId="135" xfId="44" applyFont="1" applyFill="1" applyBorder="1" applyAlignment="1">
      <alignment horizontal="center" vertical="center"/>
    </xf>
    <xf numFmtId="178" fontId="2" fillId="25" borderId="87" xfId="44" applyNumberFormat="1" applyFill="1" applyBorder="1" applyAlignment="1">
      <alignment vertical="center"/>
    </xf>
    <xf numFmtId="178" fontId="2" fillId="25" borderId="83" xfId="44" applyNumberFormat="1" applyFill="1" applyBorder="1" applyAlignment="1">
      <alignment vertical="center"/>
    </xf>
    <xf numFmtId="178" fontId="115" fillId="27" borderId="126" xfId="44" applyNumberFormat="1" applyFont="1" applyFill="1" applyBorder="1" applyAlignment="1">
      <alignment horizontal="right" vertical="center"/>
    </xf>
    <xf numFmtId="0" fontId="3" fillId="25" borderId="94" xfId="44" applyFont="1" applyFill="1" applyBorder="1" applyAlignment="1">
      <alignment horizontal="right" vertical="center"/>
    </xf>
    <xf numFmtId="0" fontId="67" fillId="25" borderId="23" xfId="44" applyFont="1" applyFill="1" applyBorder="1" applyAlignment="1">
      <alignment vertical="center"/>
    </xf>
    <xf numFmtId="0" fontId="13" fillId="25" borderId="20" xfId="44" applyFont="1" applyFill="1" applyBorder="1" applyAlignment="1">
      <alignment vertical="center"/>
    </xf>
    <xf numFmtId="0" fontId="33" fillId="25" borderId="23" xfId="44" applyFont="1" applyFill="1" applyBorder="1" applyAlignment="1">
      <alignment vertical="center"/>
    </xf>
    <xf numFmtId="0" fontId="13" fillId="25" borderId="20" xfId="44" applyFont="1" applyFill="1" applyBorder="1" applyAlignment="1">
      <alignment horizontal="right" vertical="center"/>
    </xf>
    <xf numFmtId="0" fontId="13" fillId="25" borderId="84" xfId="44" applyFont="1" applyFill="1" applyBorder="1" applyAlignment="1">
      <alignment vertical="center"/>
    </xf>
    <xf numFmtId="0" fontId="13" fillId="25" borderId="81" xfId="44" applyFont="1" applyFill="1" applyBorder="1" applyAlignment="1">
      <alignment vertical="center"/>
    </xf>
    <xf numFmtId="0" fontId="2" fillId="25" borderId="25" xfId="44" applyFill="1" applyBorder="1" applyAlignment="1">
      <alignment vertical="center"/>
    </xf>
    <xf numFmtId="38" fontId="13" fillId="25" borderId="162" xfId="35" applyFont="1" applyFill="1" applyBorder="1" applyAlignment="1" applyProtection="1">
      <alignment vertical="center"/>
    </xf>
    <xf numFmtId="178" fontId="13" fillId="25" borderId="20" xfId="44" applyNumberFormat="1" applyFont="1" applyFill="1" applyBorder="1" applyAlignment="1">
      <alignment horizontal="right" vertical="center"/>
    </xf>
    <xf numFmtId="199" fontId="67" fillId="25" borderId="23" xfId="44" applyNumberFormat="1" applyFont="1" applyFill="1" applyBorder="1" applyAlignment="1">
      <alignment vertical="center"/>
    </xf>
    <xf numFmtId="0" fontId="67" fillId="25" borderId="99" xfId="44" applyFont="1" applyFill="1" applyBorder="1" applyAlignment="1">
      <alignment vertical="center"/>
    </xf>
    <xf numFmtId="0" fontId="115" fillId="27" borderId="168" xfId="44" applyFont="1" applyFill="1" applyBorder="1" applyAlignment="1">
      <alignment vertical="center"/>
    </xf>
    <xf numFmtId="0" fontId="15" fillId="27" borderId="96" xfId="44" applyFont="1" applyFill="1" applyBorder="1" applyAlignment="1">
      <alignment horizontal="left" vertical="center"/>
    </xf>
    <xf numFmtId="0" fontId="15" fillId="27" borderId="96" xfId="44" applyFont="1" applyFill="1" applyBorder="1" applyAlignment="1">
      <alignment vertical="center"/>
    </xf>
    <xf numFmtId="0" fontId="124" fillId="27" borderId="169" xfId="44" applyFont="1" applyFill="1" applyBorder="1" applyAlignment="1">
      <alignment vertical="center"/>
    </xf>
    <xf numFmtId="0" fontId="67" fillId="25" borderId="78" xfId="44" applyFont="1" applyFill="1" applyBorder="1" applyAlignment="1">
      <alignment vertical="center"/>
    </xf>
    <xf numFmtId="0" fontId="67" fillId="25" borderId="19" xfId="44" applyFont="1" applyFill="1" applyBorder="1" applyAlignment="1">
      <alignment vertical="center"/>
    </xf>
    <xf numFmtId="180" fontId="13" fillId="25" borderId="19" xfId="44" applyNumberFormat="1" applyFont="1" applyFill="1" applyBorder="1" applyAlignment="1">
      <alignment horizontal="left" vertical="center"/>
    </xf>
    <xf numFmtId="0" fontId="13" fillId="25" borderId="19" xfId="44" applyFont="1" applyFill="1" applyBorder="1" applyAlignment="1">
      <alignment vertical="center"/>
    </xf>
    <xf numFmtId="179" fontId="10" fillId="26" borderId="41" xfId="0" applyNumberFormat="1" applyFont="1" applyFill="1" applyBorder="1" applyAlignment="1" applyProtection="1">
      <alignment vertical="center" wrapText="1"/>
      <protection locked="0"/>
    </xf>
    <xf numFmtId="0" fontId="65" fillId="0" borderId="75" xfId="0" applyFont="1" applyBorder="1" applyProtection="1">
      <alignment vertical="center"/>
      <protection hidden="1"/>
    </xf>
    <xf numFmtId="0" fontId="65" fillId="0" borderId="76" xfId="0" applyFont="1" applyBorder="1" applyProtection="1">
      <alignment vertical="center"/>
      <protection hidden="1"/>
    </xf>
    <xf numFmtId="0" fontId="111" fillId="0" borderId="77" xfId="0" applyFont="1" applyBorder="1" applyAlignment="1" applyProtection="1">
      <alignment horizontal="right" vertical="center"/>
      <protection hidden="1"/>
    </xf>
    <xf numFmtId="0" fontId="41" fillId="0" borderId="23" xfId="0" applyFont="1" applyBorder="1" applyAlignment="1" applyProtection="1">
      <alignment horizontal="right" vertical="center"/>
      <protection hidden="1"/>
    </xf>
    <xf numFmtId="0" fontId="65" fillId="0" borderId="137" xfId="0" applyFont="1" applyBorder="1" applyProtection="1">
      <alignment vertical="center"/>
      <protection hidden="1"/>
    </xf>
    <xf numFmtId="0" fontId="65" fillId="0" borderId="111" xfId="0" applyFont="1" applyBorder="1" applyProtection="1">
      <alignment vertical="center"/>
      <protection hidden="1"/>
    </xf>
    <xf numFmtId="0" fontId="25" fillId="0" borderId="111" xfId="0" applyFont="1" applyBorder="1" applyAlignment="1" applyProtection="1">
      <alignment horizontal="center" vertical="center"/>
      <protection hidden="1"/>
    </xf>
    <xf numFmtId="0" fontId="25" fillId="0" borderId="148" xfId="0" applyFont="1" applyBorder="1" applyAlignment="1" applyProtection="1">
      <alignment horizontal="center" vertical="center"/>
      <protection hidden="1"/>
    </xf>
    <xf numFmtId="0" fontId="41" fillId="0" borderId="23" xfId="0" applyFont="1" applyBorder="1" applyAlignment="1" applyProtection="1">
      <alignment horizontal="left" vertical="center"/>
      <protection hidden="1"/>
    </xf>
    <xf numFmtId="0" fontId="8" fillId="0" borderId="0" xfId="0" applyFont="1" applyAlignment="1" applyProtection="1">
      <alignment horizontal="center" vertical="center"/>
      <protection hidden="1"/>
    </xf>
    <xf numFmtId="0" fontId="3" fillId="0" borderId="20" xfId="0" applyFont="1" applyBorder="1" applyAlignment="1" applyProtection="1">
      <alignment horizontal="right" vertical="center"/>
      <protection hidden="1"/>
    </xf>
    <xf numFmtId="0" fontId="41" fillId="0" borderId="137" xfId="0" applyFont="1" applyBorder="1" applyAlignment="1" applyProtection="1">
      <alignment horizontal="left" vertical="center"/>
      <protection hidden="1"/>
    </xf>
    <xf numFmtId="0" fontId="8" fillId="0" borderId="111" xfId="0" applyFont="1" applyBorder="1" applyAlignment="1" applyProtection="1">
      <alignment horizontal="center" vertical="center"/>
      <protection hidden="1"/>
    </xf>
    <xf numFmtId="0" fontId="64" fillId="0" borderId="111" xfId="0" applyFont="1" applyBorder="1">
      <alignment vertical="center"/>
    </xf>
    <xf numFmtId="0" fontId="3" fillId="0" borderId="148" xfId="0" applyFont="1" applyBorder="1" applyAlignment="1" applyProtection="1">
      <alignment horizontal="right" vertical="center"/>
      <protection hidden="1"/>
    </xf>
    <xf numFmtId="0" fontId="47" fillId="0" borderId="23" xfId="0" applyFont="1" applyBorder="1" applyAlignment="1" applyProtection="1">
      <alignment vertical="center" wrapText="1"/>
      <protection hidden="1"/>
    </xf>
    <xf numFmtId="0" fontId="47" fillId="0" borderId="0" xfId="0" applyFont="1" applyAlignment="1" applyProtection="1">
      <alignment vertical="center" wrapText="1"/>
      <protection hidden="1"/>
    </xf>
    <xf numFmtId="0" fontId="47" fillId="0" borderId="20" xfId="0" applyFont="1" applyBorder="1" applyAlignment="1" applyProtection="1">
      <alignment vertical="center" wrapText="1"/>
      <protection hidden="1"/>
    </xf>
    <xf numFmtId="186" fontId="41" fillId="0" borderId="0" xfId="35" applyNumberFormat="1" applyFont="1" applyFill="1" applyBorder="1" applyAlignment="1" applyProtection="1">
      <alignment horizontal="right" vertical="center"/>
      <protection hidden="1"/>
    </xf>
    <xf numFmtId="186" fontId="41" fillId="0" borderId="0" xfId="35" applyNumberFormat="1" applyFont="1" applyFill="1" applyBorder="1" applyAlignment="1" applyProtection="1">
      <alignment horizontal="right" vertical="top"/>
      <protection hidden="1"/>
    </xf>
    <xf numFmtId="0" fontId="47" fillId="0" borderId="0" xfId="0" applyFont="1" applyAlignment="1" applyProtection="1">
      <alignment horizontal="left"/>
      <protection hidden="1"/>
    </xf>
    <xf numFmtId="0" fontId="47" fillId="0" borderId="19" xfId="0" applyFont="1" applyBorder="1" applyAlignment="1" applyProtection="1">
      <alignment horizontal="left" vertical="top"/>
      <protection hidden="1"/>
    </xf>
    <xf numFmtId="0" fontId="64" fillId="0" borderId="25" xfId="0" applyFont="1" applyBorder="1" applyProtection="1">
      <alignment vertical="center"/>
      <protection hidden="1"/>
    </xf>
    <xf numFmtId="38" fontId="64" fillId="34" borderId="10" xfId="35" applyFont="1" applyFill="1" applyBorder="1" applyProtection="1">
      <alignment vertical="center"/>
      <protection hidden="1"/>
    </xf>
    <xf numFmtId="38" fontId="21" fillId="34" borderId="10" xfId="0" applyNumberFormat="1" applyFont="1" applyFill="1" applyBorder="1" applyProtection="1">
      <alignment vertical="center"/>
      <protection hidden="1"/>
    </xf>
    <xf numFmtId="186" fontId="0" fillId="0" borderId="10" xfId="0" applyNumberFormat="1" applyBorder="1" applyProtection="1">
      <alignment vertical="center"/>
      <protection hidden="1"/>
    </xf>
    <xf numFmtId="0" fontId="2" fillId="0" borderId="0" xfId="35" applyNumberFormat="1" applyFont="1" applyFill="1" applyBorder="1" applyAlignment="1" applyProtection="1">
      <protection hidden="1"/>
    </xf>
    <xf numFmtId="0" fontId="92" fillId="31" borderId="77" xfId="0" applyFont="1" applyFill="1" applyBorder="1" applyProtection="1">
      <alignment vertical="center"/>
      <protection hidden="1"/>
    </xf>
    <xf numFmtId="0" fontId="21" fillId="26" borderId="10" xfId="0" applyFont="1" applyFill="1" applyBorder="1" applyProtection="1">
      <alignment vertical="center"/>
      <protection hidden="1"/>
    </xf>
    <xf numFmtId="0" fontId="64" fillId="26" borderId="10" xfId="0" applyFont="1" applyFill="1" applyBorder="1" applyProtection="1">
      <alignment vertical="center"/>
      <protection hidden="1"/>
    </xf>
    <xf numFmtId="0" fontId="142" fillId="25" borderId="156" xfId="0" applyFont="1" applyFill="1" applyBorder="1" applyProtection="1">
      <alignment vertical="center"/>
      <protection hidden="1"/>
    </xf>
    <xf numFmtId="0" fontId="7" fillId="25" borderId="170" xfId="0" applyFont="1" applyFill="1" applyBorder="1" applyProtection="1">
      <alignment vertical="center"/>
      <protection hidden="1"/>
    </xf>
    <xf numFmtId="0" fontId="1" fillId="0" borderId="0" xfId="35" applyNumberFormat="1" applyFont="1" applyFill="1" applyBorder="1" applyAlignment="1" applyProtection="1">
      <alignment wrapText="1"/>
      <protection hidden="1"/>
    </xf>
    <xf numFmtId="0" fontId="1" fillId="0" borderId="0" xfId="35" applyNumberFormat="1" applyFont="1" applyFill="1" applyBorder="1" applyAlignment="1" applyProtection="1">
      <protection hidden="1"/>
    </xf>
    <xf numFmtId="38" fontId="64" fillId="34" borderId="10" xfId="0" applyNumberFormat="1" applyFont="1" applyFill="1" applyBorder="1" applyProtection="1">
      <alignment vertical="center"/>
      <protection hidden="1"/>
    </xf>
    <xf numFmtId="0" fontId="3" fillId="25" borderId="171" xfId="0" applyFont="1" applyFill="1" applyBorder="1" applyAlignment="1" applyProtection="1">
      <alignment horizontal="center" vertical="center"/>
      <protection hidden="1"/>
    </xf>
    <xf numFmtId="0" fontId="3" fillId="25" borderId="14" xfId="0" applyFont="1" applyFill="1" applyBorder="1" applyAlignment="1" applyProtection="1">
      <alignment horizontal="center" vertical="center" wrapText="1"/>
      <protection hidden="1"/>
    </xf>
    <xf numFmtId="203" fontId="2" fillId="25" borderId="83" xfId="44" applyNumberFormat="1" applyFill="1" applyBorder="1" applyAlignment="1">
      <alignment vertical="center"/>
    </xf>
    <xf numFmtId="203" fontId="115" fillId="27" borderId="126" xfId="44" applyNumberFormat="1" applyFont="1" applyFill="1" applyBorder="1" applyAlignment="1">
      <alignment horizontal="right" vertical="center"/>
    </xf>
    <xf numFmtId="0" fontId="27" fillId="25" borderId="0" xfId="44" applyFont="1" applyFill="1" applyAlignment="1">
      <alignment vertical="center"/>
    </xf>
    <xf numFmtId="0" fontId="27" fillId="25" borderId="0" xfId="44" applyFont="1" applyFill="1" applyAlignment="1">
      <alignment horizontal="right" vertical="center"/>
    </xf>
    <xf numFmtId="38" fontId="13" fillId="25" borderId="20" xfId="35" applyFont="1" applyFill="1" applyBorder="1" applyAlignment="1" applyProtection="1">
      <alignment horizontal="right" vertical="center"/>
    </xf>
    <xf numFmtId="38" fontId="64" fillId="0" borderId="10" xfId="0" applyNumberFormat="1" applyFont="1" applyBorder="1" applyProtection="1">
      <alignment vertical="center"/>
      <protection hidden="1"/>
    </xf>
    <xf numFmtId="0" fontId="64" fillId="0" borderId="0" xfId="0" quotePrefix="1" applyFont="1" applyProtection="1">
      <alignment vertical="center"/>
      <protection hidden="1"/>
    </xf>
    <xf numFmtId="0" fontId="17" fillId="29" borderId="172" xfId="0" applyFont="1" applyFill="1" applyBorder="1" applyProtection="1">
      <alignment vertical="center"/>
      <protection hidden="1"/>
    </xf>
    <xf numFmtId="0" fontId="17" fillId="29" borderId="173" xfId="0" applyFont="1" applyFill="1" applyBorder="1" applyProtection="1">
      <alignment vertical="center"/>
      <protection hidden="1"/>
    </xf>
    <xf numFmtId="0" fontId="110" fillId="25" borderId="108" xfId="29" applyFont="1" applyFill="1" applyBorder="1" applyAlignment="1" applyProtection="1">
      <alignment vertical="center"/>
      <protection hidden="1"/>
    </xf>
    <xf numFmtId="0" fontId="2" fillId="25" borderId="0" xfId="0" applyFont="1" applyFill="1">
      <alignment vertical="center"/>
    </xf>
    <xf numFmtId="0" fontId="13" fillId="25" borderId="106" xfId="0" applyFont="1" applyFill="1" applyBorder="1" applyProtection="1">
      <alignment vertical="center"/>
      <protection hidden="1"/>
    </xf>
    <xf numFmtId="0" fontId="48" fillId="0" borderId="161" xfId="0" applyFont="1" applyBorder="1" applyAlignment="1" applyProtection="1">
      <alignment horizontal="left" vertical="center"/>
      <protection hidden="1"/>
    </xf>
    <xf numFmtId="0" fontId="110" fillId="25" borderId="175" xfId="29" applyFont="1" applyFill="1" applyBorder="1" applyAlignment="1" applyProtection="1">
      <alignment horizontal="left" vertical="center" indent="1"/>
      <protection hidden="1"/>
    </xf>
    <xf numFmtId="0" fontId="110" fillId="25" borderId="176" xfId="29" applyFont="1" applyFill="1" applyBorder="1" applyAlignment="1" applyProtection="1">
      <alignment vertical="center"/>
      <protection hidden="1"/>
    </xf>
    <xf numFmtId="0" fontId="13" fillId="0" borderId="177" xfId="0" applyFont="1" applyBorder="1" applyAlignment="1" applyProtection="1">
      <alignment horizontal="right" vertical="center"/>
      <protection locked="0"/>
    </xf>
    <xf numFmtId="0" fontId="3" fillId="0" borderId="10" xfId="0" applyFont="1" applyBorder="1" applyAlignment="1">
      <alignment horizontal="center" vertical="center"/>
    </xf>
    <xf numFmtId="0" fontId="3" fillId="25" borderId="116" xfId="0" applyFont="1" applyFill="1" applyBorder="1" applyAlignment="1">
      <alignment horizontal="center" vertical="center" wrapText="1"/>
    </xf>
    <xf numFmtId="0" fontId="67" fillId="37" borderId="0" xfId="0" applyFont="1" applyFill="1" applyProtection="1">
      <alignment vertical="center"/>
      <protection hidden="1"/>
    </xf>
    <xf numFmtId="0" fontId="7" fillId="25" borderId="0" xfId="0" applyFont="1" applyFill="1" applyAlignment="1">
      <alignment vertical="center" shrinkToFit="1"/>
    </xf>
    <xf numFmtId="3" fontId="89" fillId="0" borderId="0" xfId="0" applyNumberFormat="1" applyFont="1" applyAlignment="1" applyProtection="1">
      <alignment horizontal="left" vertical="center"/>
      <protection locked="0" hidden="1"/>
    </xf>
    <xf numFmtId="0" fontId="64" fillId="0" borderId="0" xfId="0" applyFont="1" applyProtection="1">
      <alignment vertical="center"/>
      <protection locked="0" hidden="1"/>
    </xf>
    <xf numFmtId="0" fontId="64" fillId="0" borderId="20" xfId="0" applyFont="1" applyBorder="1" applyProtection="1">
      <alignment vertical="center"/>
      <protection locked="0" hidden="1"/>
    </xf>
    <xf numFmtId="0" fontId="90" fillId="0" borderId="0" xfId="0" applyFont="1" applyProtection="1">
      <alignment vertical="center"/>
      <protection locked="0" hidden="1"/>
    </xf>
    <xf numFmtId="0" fontId="37" fillId="0" borderId="0" xfId="0" applyFont="1" applyProtection="1">
      <alignment vertical="center"/>
      <protection locked="0" hidden="1"/>
    </xf>
    <xf numFmtId="0" fontId="37" fillId="0" borderId="20" xfId="0" applyFont="1" applyBorder="1" applyProtection="1">
      <alignment vertical="center"/>
      <protection locked="0" hidden="1"/>
    </xf>
    <xf numFmtId="0" fontId="90" fillId="0" borderId="19" xfId="0" applyFont="1" applyBorder="1" applyProtection="1">
      <alignment vertical="center"/>
      <protection locked="0" hidden="1"/>
    </xf>
    <xf numFmtId="3" fontId="89" fillId="0" borderId="19" xfId="0" applyNumberFormat="1" applyFont="1" applyBorder="1" applyAlignment="1" applyProtection="1">
      <alignment horizontal="left" vertical="center"/>
      <protection locked="0" hidden="1"/>
    </xf>
    <xf numFmtId="0" fontId="37" fillId="0" borderId="19" xfId="0" applyFont="1" applyBorder="1" applyProtection="1">
      <alignment vertical="center"/>
      <protection locked="0" hidden="1"/>
    </xf>
    <xf numFmtId="0" fontId="37" fillId="0" borderId="25" xfId="0" applyFont="1" applyBorder="1" applyProtection="1">
      <alignment vertical="center"/>
      <protection locked="0" hidden="1"/>
    </xf>
    <xf numFmtId="3" fontId="50" fillId="24" borderId="0" xfId="0" applyNumberFormat="1" applyFont="1" applyFill="1" applyAlignment="1">
      <alignment horizontal="left" vertical="center"/>
    </xf>
    <xf numFmtId="0" fontId="21" fillId="0" borderId="0" xfId="0" applyFont="1" applyProtection="1">
      <alignment vertical="center"/>
      <protection locked="0"/>
    </xf>
    <xf numFmtId="0" fontId="3" fillId="25" borderId="111" xfId="0" applyFont="1" applyFill="1" applyBorder="1" applyAlignment="1" applyProtection="1">
      <alignment vertical="center" wrapText="1"/>
      <protection hidden="1"/>
    </xf>
    <xf numFmtId="0" fontId="3" fillId="25" borderId="178" xfId="0" applyFont="1" applyFill="1" applyBorder="1" applyAlignment="1" applyProtection="1">
      <alignment horizontal="center" vertical="center"/>
      <protection hidden="1"/>
    </xf>
    <xf numFmtId="0" fontId="3" fillId="25" borderId="149" xfId="0" applyFont="1" applyFill="1" applyBorder="1" applyAlignment="1" applyProtection="1">
      <alignment horizontal="center" vertical="center"/>
      <protection hidden="1"/>
    </xf>
    <xf numFmtId="0" fontId="110" fillId="25" borderId="179" xfId="29" applyFont="1" applyFill="1" applyBorder="1" applyAlignment="1" applyProtection="1">
      <alignment vertical="center"/>
      <protection hidden="1"/>
    </xf>
    <xf numFmtId="0" fontId="110" fillId="25" borderId="180" xfId="29" applyFont="1" applyFill="1" applyBorder="1" applyAlignment="1" applyProtection="1">
      <alignment vertical="center"/>
      <protection hidden="1"/>
    </xf>
    <xf numFmtId="0" fontId="33" fillId="0" borderId="21" xfId="0" applyFont="1" applyBorder="1">
      <alignment vertical="center"/>
    </xf>
    <xf numFmtId="0" fontId="0" fillId="0" borderId="21" xfId="0" applyBorder="1">
      <alignment vertical="center"/>
    </xf>
    <xf numFmtId="0" fontId="13" fillId="25" borderId="10" xfId="0" applyFont="1" applyFill="1" applyBorder="1" applyAlignment="1">
      <alignment horizontal="center" vertical="center"/>
    </xf>
    <xf numFmtId="0" fontId="13" fillId="25" borderId="40" xfId="0" applyFont="1" applyFill="1" applyBorder="1" applyAlignment="1">
      <alignment horizontal="center" vertical="center" wrapText="1"/>
    </xf>
    <xf numFmtId="0" fontId="13" fillId="25" borderId="116" xfId="0" applyFont="1" applyFill="1" applyBorder="1" applyAlignment="1">
      <alignment horizontal="center" vertical="center" wrapText="1"/>
    </xf>
    <xf numFmtId="178" fontId="13" fillId="30" borderId="41" xfId="0" applyNumberFormat="1" applyFont="1" applyFill="1" applyBorder="1" applyAlignment="1" applyProtection="1">
      <alignment horizontal="center" vertical="center"/>
      <protection locked="0"/>
    </xf>
    <xf numFmtId="178" fontId="13" fillId="25" borderId="87" xfId="0" applyNumberFormat="1" applyFont="1" applyFill="1" applyBorder="1" applyAlignment="1">
      <alignment horizontal="center" vertical="center"/>
    </xf>
    <xf numFmtId="178" fontId="13" fillId="25" borderId="119" xfId="0" applyNumberFormat="1" applyFont="1" applyFill="1" applyBorder="1" applyAlignment="1">
      <alignment horizontal="center" vertical="center"/>
    </xf>
    <xf numFmtId="0" fontId="13" fillId="25" borderId="10" xfId="0" applyFont="1" applyFill="1" applyBorder="1" applyAlignment="1">
      <alignment vertical="center" wrapText="1"/>
    </xf>
    <xf numFmtId="178" fontId="13" fillId="25" borderId="83" xfId="0" applyNumberFormat="1" applyFont="1" applyFill="1" applyBorder="1" applyAlignment="1">
      <alignment horizontal="center" vertical="center"/>
    </xf>
    <xf numFmtId="178" fontId="13" fillId="25" borderId="181" xfId="0" applyNumberFormat="1" applyFont="1" applyFill="1" applyBorder="1" applyAlignment="1">
      <alignment horizontal="center" vertical="center"/>
    </xf>
    <xf numFmtId="178" fontId="13" fillId="30" borderId="26" xfId="0" applyNumberFormat="1" applyFont="1" applyFill="1" applyBorder="1" applyAlignment="1" applyProtection="1">
      <alignment horizontal="center" vertical="center"/>
      <protection locked="0"/>
    </xf>
    <xf numFmtId="178" fontId="13" fillId="40" borderId="41" xfId="0" applyNumberFormat="1" applyFont="1" applyFill="1" applyBorder="1" applyAlignment="1" applyProtection="1">
      <alignment horizontal="center" vertical="center"/>
      <protection locked="0"/>
    </xf>
    <xf numFmtId="178" fontId="13" fillId="25" borderId="15" xfId="0" quotePrefix="1" applyNumberFormat="1" applyFont="1" applyFill="1" applyBorder="1" applyAlignment="1">
      <alignment horizontal="center" vertical="center"/>
    </xf>
    <xf numFmtId="178" fontId="13" fillId="25" borderId="42" xfId="0" quotePrefix="1" applyNumberFormat="1" applyFont="1" applyFill="1" applyBorder="1" applyAlignment="1">
      <alignment horizontal="center" vertical="center"/>
    </xf>
    <xf numFmtId="177" fontId="13" fillId="40" borderId="41" xfId="0" applyNumberFormat="1" applyFont="1" applyFill="1" applyBorder="1" applyAlignment="1" applyProtection="1">
      <alignment horizontal="center" vertical="center"/>
      <protection locked="0"/>
    </xf>
    <xf numFmtId="178" fontId="13" fillId="25" borderId="94" xfId="0" quotePrefix="1" applyNumberFormat="1" applyFont="1" applyFill="1" applyBorder="1" applyAlignment="1">
      <alignment horizontal="center" vertical="center"/>
    </xf>
    <xf numFmtId="0" fontId="13" fillId="25" borderId="16" xfId="0" applyFont="1" applyFill="1" applyBorder="1" applyAlignment="1">
      <alignment vertical="center" wrapText="1"/>
    </xf>
    <xf numFmtId="0" fontId="13" fillId="25" borderId="11" xfId="0" applyFont="1" applyFill="1" applyBorder="1" applyAlignment="1">
      <alignment horizontal="right" vertical="center" wrapText="1"/>
    </xf>
    <xf numFmtId="0" fontId="13" fillId="25" borderId="182" xfId="0" applyFont="1" applyFill="1" applyBorder="1" applyAlignment="1">
      <alignment horizontal="right" vertical="center" wrapText="1"/>
    </xf>
    <xf numFmtId="178" fontId="13" fillId="25" borderId="44" xfId="0" applyNumberFormat="1" applyFont="1" applyFill="1" applyBorder="1" applyAlignment="1">
      <alignment horizontal="center" vertical="center" wrapText="1"/>
    </xf>
    <xf numFmtId="177" fontId="13" fillId="40" borderId="14" xfId="0" applyNumberFormat="1" applyFont="1" applyFill="1" applyBorder="1" applyAlignment="1" applyProtection="1">
      <alignment horizontal="center" vertical="center"/>
      <protection locked="0"/>
    </xf>
    <xf numFmtId="178" fontId="13" fillId="25" borderId="45" xfId="0" applyNumberFormat="1" applyFont="1" applyFill="1" applyBorder="1" applyAlignment="1">
      <alignment horizontal="center" vertical="center" wrapText="1"/>
    </xf>
    <xf numFmtId="0" fontId="13" fillId="25" borderId="45" xfId="0" applyFont="1" applyFill="1" applyBorder="1" applyAlignment="1">
      <alignment vertical="center" wrapText="1"/>
    </xf>
    <xf numFmtId="0" fontId="13" fillId="25" borderId="11" xfId="0" applyFont="1" applyFill="1" applyBorder="1" applyAlignment="1">
      <alignment horizontal="center" vertical="center" wrapText="1"/>
    </xf>
    <xf numFmtId="0" fontId="13" fillId="25" borderId="183" xfId="0" applyFont="1" applyFill="1" applyBorder="1" applyAlignment="1">
      <alignment horizontal="center" vertical="center" wrapText="1"/>
    </xf>
    <xf numFmtId="178" fontId="13" fillId="40" borderId="115" xfId="0" applyNumberFormat="1" applyFont="1" applyFill="1" applyBorder="1" applyAlignment="1" applyProtection="1">
      <alignment horizontal="left" vertical="center" wrapText="1"/>
      <protection locked="0"/>
    </xf>
    <xf numFmtId="178" fontId="13" fillId="25" borderId="108" xfId="0" applyNumberFormat="1" applyFont="1" applyFill="1" applyBorder="1" applyAlignment="1">
      <alignment horizontal="right" vertical="center" wrapText="1"/>
    </xf>
    <xf numFmtId="177" fontId="13" fillId="40" borderId="115" xfId="0" applyNumberFormat="1" applyFont="1" applyFill="1" applyBorder="1" applyAlignment="1" applyProtection="1">
      <alignment horizontal="center" vertical="center"/>
      <protection locked="0"/>
    </xf>
    <xf numFmtId="0" fontId="13" fillId="25" borderId="184" xfId="0" applyFont="1" applyFill="1" applyBorder="1" applyAlignment="1">
      <alignment horizontal="center" vertical="center" wrapText="1"/>
    </xf>
    <xf numFmtId="178" fontId="13" fillId="40" borderId="104" xfId="0" applyNumberFormat="1" applyFont="1" applyFill="1" applyBorder="1" applyAlignment="1" applyProtection="1">
      <alignment horizontal="left" vertical="center" wrapText="1"/>
      <protection locked="0"/>
    </xf>
    <xf numFmtId="178" fontId="13" fillId="25" borderId="114" xfId="0" applyNumberFormat="1" applyFont="1" applyFill="1" applyBorder="1" applyAlignment="1">
      <alignment horizontal="right" vertical="center" wrapText="1"/>
    </xf>
    <xf numFmtId="177" fontId="13" fillId="40" borderId="185" xfId="0" applyNumberFormat="1" applyFont="1" applyFill="1" applyBorder="1" applyAlignment="1" applyProtection="1">
      <alignment horizontal="center" vertical="center"/>
      <protection locked="0"/>
    </xf>
    <xf numFmtId="178" fontId="13" fillId="25" borderId="134" xfId="0" applyNumberFormat="1" applyFont="1" applyFill="1" applyBorder="1" applyAlignment="1">
      <alignment horizontal="center" vertical="center" wrapText="1"/>
    </xf>
    <xf numFmtId="0" fontId="13" fillId="25" borderId="13" xfId="0" applyFont="1" applyFill="1" applyBorder="1" applyAlignment="1">
      <alignment vertical="center" wrapText="1"/>
    </xf>
    <xf numFmtId="178" fontId="13" fillId="25" borderId="43" xfId="0" quotePrefix="1" applyNumberFormat="1" applyFont="1" applyFill="1" applyBorder="1" applyAlignment="1">
      <alignment horizontal="center" vertical="center"/>
    </xf>
    <xf numFmtId="0" fontId="13" fillId="25" borderId="186" xfId="0" applyFont="1" applyFill="1" applyBorder="1" applyAlignment="1">
      <alignment horizontal="right" vertical="center" wrapText="1"/>
    </xf>
    <xf numFmtId="0" fontId="13" fillId="25" borderId="44" xfId="0" applyFont="1" applyFill="1" applyBorder="1" applyAlignment="1">
      <alignment horizontal="left" vertical="center" wrapText="1"/>
    </xf>
    <xf numFmtId="0" fontId="13" fillId="25" borderId="14" xfId="0" applyFont="1" applyFill="1" applyBorder="1" applyAlignment="1">
      <alignment horizontal="left" vertical="center" wrapText="1"/>
    </xf>
    <xf numFmtId="177" fontId="13" fillId="30" borderId="14" xfId="0" applyNumberFormat="1" applyFont="1" applyFill="1" applyBorder="1" applyAlignment="1" applyProtection="1">
      <alignment horizontal="center" vertical="center"/>
      <protection locked="0"/>
    </xf>
    <xf numFmtId="0" fontId="13" fillId="25" borderId="14" xfId="0" quotePrefix="1" applyFont="1" applyFill="1" applyBorder="1" applyAlignment="1">
      <alignment horizontal="center" vertical="center" wrapText="1"/>
    </xf>
    <xf numFmtId="0" fontId="13" fillId="25" borderId="186" xfId="0" applyFont="1" applyFill="1" applyBorder="1" applyAlignment="1">
      <alignment horizontal="center" vertical="center" wrapText="1"/>
    </xf>
    <xf numFmtId="0" fontId="13" fillId="25" borderId="16" xfId="0" applyFont="1" applyFill="1" applyBorder="1" applyAlignment="1">
      <alignment horizontal="center" vertical="center" wrapText="1"/>
    </xf>
    <xf numFmtId="0" fontId="13" fillId="25" borderId="115" xfId="0" applyFont="1" applyFill="1" applyBorder="1" applyAlignment="1">
      <alignment horizontal="left" vertical="center" wrapText="1"/>
    </xf>
    <xf numFmtId="177" fontId="13" fillId="30" borderId="115" xfId="0" applyNumberFormat="1" applyFont="1" applyFill="1" applyBorder="1" applyAlignment="1" applyProtection="1">
      <alignment horizontal="center" vertical="center"/>
      <protection locked="0"/>
    </xf>
    <xf numFmtId="0" fontId="13" fillId="25" borderId="115" xfId="0" applyFont="1" applyFill="1" applyBorder="1" applyAlignment="1">
      <alignment vertical="center" wrapText="1"/>
    </xf>
    <xf numFmtId="0" fontId="13" fillId="25" borderId="187" xfId="0" applyFont="1" applyFill="1" applyBorder="1" applyAlignment="1">
      <alignment horizontal="center" vertical="center" wrapText="1"/>
    </xf>
    <xf numFmtId="0" fontId="13" fillId="25" borderId="51" xfId="0" applyFont="1" applyFill="1" applyBorder="1" applyAlignment="1">
      <alignment horizontal="center" vertical="center" wrapText="1"/>
    </xf>
    <xf numFmtId="0" fontId="13" fillId="25" borderId="185" xfId="0" applyFont="1" applyFill="1" applyBorder="1" applyAlignment="1">
      <alignment horizontal="left" vertical="center" wrapText="1"/>
    </xf>
    <xf numFmtId="177" fontId="13" fillId="30" borderId="185" xfId="0" applyNumberFormat="1" applyFont="1" applyFill="1" applyBorder="1" applyAlignment="1" applyProtection="1">
      <alignment horizontal="center" vertical="center"/>
      <protection locked="0"/>
    </xf>
    <xf numFmtId="177" fontId="13" fillId="25" borderId="185" xfId="0" applyNumberFormat="1" applyFont="1" applyFill="1" applyBorder="1" applyAlignment="1">
      <alignment horizontal="center" vertical="center" wrapText="1"/>
    </xf>
    <xf numFmtId="0" fontId="13" fillId="25" borderId="185" xfId="0" applyFont="1" applyFill="1" applyBorder="1" applyAlignment="1">
      <alignment vertical="center" wrapText="1"/>
    </xf>
    <xf numFmtId="0" fontId="13" fillId="0" borderId="41" xfId="0" applyFont="1" applyBorder="1">
      <alignment vertical="center"/>
    </xf>
    <xf numFmtId="0" fontId="13" fillId="0" borderId="0" xfId="0" applyFont="1" applyAlignment="1">
      <alignment horizontal="right" vertical="center"/>
    </xf>
    <xf numFmtId="187" fontId="13" fillId="25" borderId="42" xfId="0" applyNumberFormat="1" applyFont="1" applyFill="1" applyBorder="1" applyAlignment="1">
      <alignment horizontal="center" vertical="center" wrapText="1" shrinkToFit="1"/>
    </xf>
    <xf numFmtId="0" fontId="13" fillId="25" borderId="40" xfId="0" applyFont="1" applyFill="1" applyBorder="1" applyAlignment="1">
      <alignment vertical="center" wrapText="1"/>
    </xf>
    <xf numFmtId="187" fontId="13" fillId="25" borderId="46" xfId="0" applyNumberFormat="1" applyFont="1" applyFill="1" applyBorder="1" applyAlignment="1">
      <alignment horizontal="center" vertical="center" wrapText="1" shrinkToFit="1"/>
    </xf>
    <xf numFmtId="178" fontId="13" fillId="25" borderId="10" xfId="0" applyNumberFormat="1" applyFont="1" applyFill="1" applyBorder="1">
      <alignment vertical="center"/>
    </xf>
    <xf numFmtId="0" fontId="13" fillId="25" borderId="10" xfId="0" applyFont="1" applyFill="1" applyBorder="1" applyAlignment="1">
      <alignment horizontal="right" vertical="center"/>
    </xf>
    <xf numFmtId="0" fontId="13" fillId="25" borderId="0" xfId="0" applyFont="1" applyFill="1" applyAlignment="1">
      <alignment horizontal="right" vertical="center"/>
    </xf>
    <xf numFmtId="0" fontId="13" fillId="25" borderId="41" xfId="0" applyFont="1" applyFill="1" applyBorder="1" applyAlignment="1">
      <alignment horizontal="right" vertical="center"/>
    </xf>
    <xf numFmtId="0" fontId="13" fillId="25" borderId="0" xfId="0" applyFont="1" applyFill="1" applyAlignment="1"/>
    <xf numFmtId="0" fontId="13" fillId="25" borderId="41" xfId="0" applyFont="1" applyFill="1" applyBorder="1">
      <alignment vertical="center"/>
    </xf>
    <xf numFmtId="177" fontId="35" fillId="24" borderId="0" xfId="35" applyNumberFormat="1" applyFont="1" applyFill="1" applyBorder="1" applyAlignment="1" applyProtection="1">
      <protection hidden="1"/>
    </xf>
    <xf numFmtId="0" fontId="13" fillId="24" borderId="0" xfId="0" applyFont="1" applyFill="1" applyAlignment="1" applyProtection="1">
      <protection hidden="1"/>
    </xf>
    <xf numFmtId="0" fontId="68" fillId="24" borderId="0" xfId="0" applyFont="1" applyFill="1" applyAlignment="1" applyProtection="1">
      <alignment horizontal="left" vertical="center"/>
      <protection hidden="1"/>
    </xf>
    <xf numFmtId="177" fontId="61" fillId="24" borderId="0" xfId="35" applyNumberFormat="1" applyFont="1" applyFill="1" applyBorder="1" applyAlignment="1" applyProtection="1">
      <protection hidden="1"/>
    </xf>
    <xf numFmtId="177" fontId="13" fillId="35" borderId="10" xfId="35" applyNumberFormat="1" applyFont="1" applyFill="1" applyBorder="1" applyAlignment="1" applyProtection="1">
      <alignment horizontal="center"/>
      <protection hidden="1"/>
    </xf>
    <xf numFmtId="0" fontId="13" fillId="35" borderId="51" xfId="0" applyFont="1" applyFill="1" applyBorder="1" applyAlignment="1" applyProtection="1">
      <alignment horizontal="center" vertical="center"/>
      <protection hidden="1"/>
    </xf>
    <xf numFmtId="187" fontId="13" fillId="35" borderId="17" xfId="35" applyNumberFormat="1" applyFont="1" applyFill="1" applyBorder="1" applyAlignment="1" applyProtection="1">
      <protection hidden="1"/>
    </xf>
    <xf numFmtId="0" fontId="5" fillId="35" borderId="10" xfId="0" applyFont="1" applyFill="1" applyBorder="1" applyAlignment="1" applyProtection="1">
      <alignment horizontal="left" vertical="center"/>
      <protection hidden="1"/>
    </xf>
    <xf numFmtId="0" fontId="5" fillId="35" borderId="10" xfId="0" applyFont="1" applyFill="1" applyBorder="1" applyProtection="1">
      <alignment vertical="center"/>
      <protection hidden="1"/>
    </xf>
    <xf numFmtId="187" fontId="5" fillId="35" borderId="17" xfId="35" applyNumberFormat="1" applyFont="1" applyFill="1" applyBorder="1" applyAlignment="1" applyProtection="1">
      <protection hidden="1"/>
    </xf>
    <xf numFmtId="49" fontId="27" fillId="26" borderId="10" xfId="0" applyNumberFormat="1" applyFont="1" applyFill="1" applyBorder="1" applyAlignment="1" applyProtection="1">
      <alignment horizontal="left" vertical="center"/>
      <protection hidden="1"/>
    </xf>
    <xf numFmtId="0" fontId="27" fillId="26" borderId="10" xfId="0" applyFont="1" applyFill="1" applyBorder="1" applyProtection="1">
      <alignment vertical="center"/>
      <protection hidden="1"/>
    </xf>
    <xf numFmtId="187" fontId="27" fillId="26" borderId="10" xfId="35" applyNumberFormat="1" applyFont="1" applyFill="1" applyBorder="1" applyAlignment="1" applyProtection="1">
      <alignment horizontal="right"/>
      <protection hidden="1"/>
    </xf>
    <xf numFmtId="0" fontId="27" fillId="25" borderId="10" xfId="0" applyFont="1" applyFill="1" applyBorder="1" applyAlignment="1" applyProtection="1">
      <alignment horizontal="left" vertical="center"/>
      <protection hidden="1"/>
    </xf>
    <xf numFmtId="0" fontId="27" fillId="25" borderId="10" xfId="0" applyFont="1" applyFill="1" applyBorder="1" applyProtection="1">
      <alignment vertical="center"/>
      <protection hidden="1"/>
    </xf>
    <xf numFmtId="187" fontId="27" fillId="25" borderId="10" xfId="35" applyNumberFormat="1" applyFont="1" applyFill="1" applyBorder="1" applyAlignment="1" applyProtection="1">
      <alignment horizontal="right"/>
      <protection hidden="1"/>
    </xf>
    <xf numFmtId="0" fontId="13" fillId="25" borderId="10" xfId="0" applyFont="1" applyFill="1" applyBorder="1" applyAlignment="1" applyProtection="1">
      <alignment horizontal="left" vertical="center"/>
      <protection hidden="1"/>
    </xf>
    <xf numFmtId="0" fontId="13" fillId="25" borderId="10" xfId="0" applyFont="1" applyFill="1" applyBorder="1" applyProtection="1">
      <alignment vertical="center"/>
      <protection hidden="1"/>
    </xf>
    <xf numFmtId="187" fontId="13" fillId="25" borderId="10" xfId="35" applyNumberFormat="1" applyFont="1" applyFill="1" applyBorder="1" applyAlignment="1" applyProtection="1">
      <alignment horizontal="right"/>
      <protection hidden="1"/>
    </xf>
    <xf numFmtId="0" fontId="13" fillId="25" borderId="10" xfId="0" applyFont="1" applyFill="1" applyBorder="1" applyAlignment="1">
      <alignment horizontal="left" vertical="center"/>
    </xf>
    <xf numFmtId="188" fontId="27" fillId="25" borderId="10" xfId="35" applyNumberFormat="1" applyFont="1" applyFill="1" applyBorder="1" applyAlignment="1" applyProtection="1">
      <protection hidden="1"/>
    </xf>
    <xf numFmtId="187" fontId="27" fillId="26" borderId="10" xfId="35" applyNumberFormat="1" applyFont="1" applyFill="1" applyBorder="1" applyAlignment="1" applyProtection="1">
      <alignment horizontal="right" vertical="center"/>
      <protection hidden="1"/>
    </xf>
    <xf numFmtId="187" fontId="13" fillId="25" borderId="10" xfId="0" applyNumberFormat="1" applyFont="1" applyFill="1" applyBorder="1" applyProtection="1">
      <alignment vertical="center"/>
      <protection hidden="1"/>
    </xf>
    <xf numFmtId="177" fontId="68" fillId="24" borderId="0" xfId="35" applyNumberFormat="1" applyFont="1" applyFill="1" applyBorder="1" applyAlignment="1" applyProtection="1">
      <protection hidden="1"/>
    </xf>
    <xf numFmtId="0" fontId="13" fillId="35" borderId="48" xfId="0" applyFont="1" applyFill="1" applyBorder="1" applyAlignment="1" applyProtection="1">
      <alignment horizontal="centerContinuous" vertical="center"/>
      <protection hidden="1"/>
    </xf>
    <xf numFmtId="177" fontId="5" fillId="35" borderId="10" xfId="35" applyNumberFormat="1" applyFont="1" applyFill="1" applyBorder="1" applyAlignment="1" applyProtection="1">
      <alignment horizontal="center"/>
      <protection hidden="1"/>
    </xf>
    <xf numFmtId="188" fontId="27" fillId="26" borderId="10" xfId="35" applyNumberFormat="1" applyFont="1" applyFill="1" applyBorder="1" applyAlignment="1" applyProtection="1">
      <protection hidden="1"/>
    </xf>
    <xf numFmtId="188" fontId="13" fillId="25" borderId="10" xfId="35" applyNumberFormat="1" applyFont="1" applyFill="1" applyBorder="1" applyAlignment="1" applyProtection="1">
      <protection hidden="1"/>
    </xf>
    <xf numFmtId="49" fontId="61" fillId="0" borderId="0" xfId="0" applyNumberFormat="1" applyFont="1" applyAlignment="1" applyProtection="1">
      <alignment horizontal="left" vertical="center"/>
      <protection hidden="1"/>
    </xf>
    <xf numFmtId="0" fontId="68" fillId="0" borderId="0" xfId="0" applyFont="1">
      <alignment vertical="center"/>
    </xf>
    <xf numFmtId="2" fontId="68" fillId="0" borderId="0" xfId="0" applyNumberFormat="1" applyFont="1" applyAlignment="1" applyProtection="1">
      <protection hidden="1"/>
    </xf>
    <xf numFmtId="2" fontId="68" fillId="24" borderId="0" xfId="0" applyNumberFormat="1" applyFont="1" applyFill="1" applyAlignment="1" applyProtection="1">
      <alignment horizontal="center"/>
      <protection hidden="1"/>
    </xf>
    <xf numFmtId="49" fontId="61" fillId="24" borderId="0" xfId="0" applyNumberFormat="1" applyFont="1" applyFill="1" applyAlignment="1" applyProtection="1">
      <alignment horizontal="left" vertical="center"/>
      <protection hidden="1"/>
    </xf>
    <xf numFmtId="49" fontId="61" fillId="24" borderId="0" xfId="0" applyNumberFormat="1" applyFont="1" applyFill="1" applyProtection="1">
      <alignment vertical="center"/>
      <protection hidden="1"/>
    </xf>
    <xf numFmtId="2" fontId="68" fillId="24" borderId="0" xfId="0" applyNumberFormat="1" applyFont="1" applyFill="1" applyAlignment="1" applyProtection="1">
      <protection hidden="1"/>
    </xf>
    <xf numFmtId="2" fontId="13" fillId="35" borderId="10" xfId="0" applyNumberFormat="1" applyFont="1" applyFill="1" applyBorder="1" applyAlignment="1" applyProtection="1">
      <alignment horizontal="center"/>
      <protection hidden="1"/>
    </xf>
    <xf numFmtId="2" fontId="13" fillId="35" borderId="10" xfId="0" applyNumberFormat="1" applyFont="1" applyFill="1" applyBorder="1" applyAlignment="1" applyProtection="1">
      <alignment horizontal="center" vertical="top"/>
      <protection hidden="1"/>
    </xf>
    <xf numFmtId="40" fontId="13" fillId="35" borderId="10" xfId="35" applyNumberFormat="1" applyFont="1" applyFill="1" applyBorder="1" applyAlignment="1" applyProtection="1">
      <alignment horizontal="center" vertical="top"/>
      <protection hidden="1"/>
    </xf>
    <xf numFmtId="0" fontId="5" fillId="35" borderId="10" xfId="0" applyFont="1" applyFill="1" applyBorder="1" applyAlignment="1" applyProtection="1">
      <alignment horizontal="center" vertical="center"/>
      <protection hidden="1"/>
    </xf>
    <xf numFmtId="40" fontId="5" fillId="35" borderId="10" xfId="35" applyNumberFormat="1" applyFont="1" applyFill="1" applyBorder="1" applyAlignment="1" applyProtection="1">
      <alignment horizontal="center" vertical="top"/>
      <protection hidden="1"/>
    </xf>
    <xf numFmtId="2" fontId="27" fillId="26" borderId="10" xfId="35" applyNumberFormat="1" applyFont="1" applyFill="1" applyBorder="1" applyAlignment="1" applyProtection="1">
      <alignment horizontal="center" vertical="center"/>
      <protection hidden="1"/>
    </xf>
    <xf numFmtId="49" fontId="27" fillId="25" borderId="10" xfId="0" applyNumberFormat="1" applyFont="1" applyFill="1" applyBorder="1" applyAlignment="1" applyProtection="1">
      <alignment horizontal="left" vertical="center"/>
      <protection hidden="1"/>
    </xf>
    <xf numFmtId="2" fontId="27" fillId="25" borderId="10" xfId="35" applyNumberFormat="1" applyFont="1" applyFill="1" applyBorder="1" applyAlignment="1" applyProtection="1">
      <alignment horizontal="center"/>
      <protection hidden="1"/>
    </xf>
    <xf numFmtId="49" fontId="13" fillId="25" borderId="10" xfId="0" applyNumberFormat="1" applyFont="1" applyFill="1" applyBorder="1" applyAlignment="1" applyProtection="1">
      <alignment horizontal="left" vertical="center"/>
      <protection hidden="1"/>
    </xf>
    <xf numFmtId="2" fontId="13" fillId="25" borderId="10" xfId="35" applyNumberFormat="1" applyFont="1" applyFill="1" applyBorder="1" applyAlignment="1" applyProtection="1">
      <alignment horizontal="center" vertical="center"/>
      <protection hidden="1"/>
    </xf>
    <xf numFmtId="2" fontId="13" fillId="25" borderId="10" xfId="0" applyNumberFormat="1" applyFont="1" applyFill="1" applyBorder="1" applyAlignment="1" applyProtection="1">
      <alignment horizontal="center"/>
      <protection hidden="1"/>
    </xf>
    <xf numFmtId="2" fontId="27" fillId="25" borderId="10" xfId="35" applyNumberFormat="1" applyFont="1" applyFill="1" applyBorder="1" applyAlignment="1" applyProtection="1">
      <alignment horizontal="center" vertical="center"/>
      <protection hidden="1"/>
    </xf>
    <xf numFmtId="0" fontId="5" fillId="35" borderId="51" xfId="0" applyFont="1" applyFill="1" applyBorder="1" applyProtection="1">
      <alignment vertical="center"/>
      <protection hidden="1"/>
    </xf>
    <xf numFmtId="193" fontId="5" fillId="35" borderId="10" xfId="0" applyNumberFormat="1" applyFont="1" applyFill="1" applyBorder="1" applyAlignment="1" applyProtection="1">
      <alignment horizontal="center" vertical="top"/>
      <protection hidden="1"/>
    </xf>
    <xf numFmtId="49" fontId="27" fillId="25" borderId="10" xfId="0" quotePrefix="1" applyNumberFormat="1" applyFont="1" applyFill="1" applyBorder="1" applyAlignment="1" applyProtection="1">
      <alignment horizontal="left" vertical="center"/>
      <protection hidden="1"/>
    </xf>
    <xf numFmtId="49" fontId="13" fillId="25" borderId="10" xfId="0" quotePrefix="1" applyNumberFormat="1" applyFont="1" applyFill="1" applyBorder="1" applyAlignment="1" applyProtection="1">
      <alignment horizontal="left" vertical="center"/>
      <protection hidden="1"/>
    </xf>
    <xf numFmtId="49" fontId="27" fillId="26" borderId="10" xfId="0" applyNumberFormat="1" applyFont="1" applyFill="1" applyBorder="1" applyProtection="1">
      <alignment vertical="center"/>
      <protection hidden="1"/>
    </xf>
    <xf numFmtId="2" fontId="13" fillId="25" borderId="10" xfId="35" applyNumberFormat="1" applyFont="1" applyFill="1" applyBorder="1" applyAlignment="1" applyProtection="1">
      <alignment horizontal="center"/>
      <protection hidden="1"/>
    </xf>
    <xf numFmtId="0" fontId="27" fillId="25" borderId="39" xfId="0" applyFont="1" applyFill="1" applyBorder="1" applyProtection="1">
      <alignment vertical="center"/>
      <protection hidden="1"/>
    </xf>
    <xf numFmtId="0" fontId="27" fillId="25" borderId="21" xfId="0" applyFont="1" applyFill="1" applyBorder="1" applyProtection="1">
      <alignment vertical="center"/>
      <protection hidden="1"/>
    </xf>
    <xf numFmtId="177" fontId="13" fillId="24" borderId="0" xfId="35" applyNumberFormat="1" applyFont="1" applyFill="1" applyBorder="1" applyAlignment="1" applyProtection="1">
      <protection hidden="1"/>
    </xf>
    <xf numFmtId="38" fontId="68" fillId="0" borderId="0" xfId="35" applyFont="1" applyFill="1" applyBorder="1" applyAlignment="1" applyProtection="1">
      <alignment horizontal="center"/>
      <protection hidden="1"/>
    </xf>
    <xf numFmtId="2" fontId="35" fillId="24" borderId="0" xfId="0" applyNumberFormat="1" applyFont="1" applyFill="1" applyAlignment="1" applyProtection="1">
      <alignment horizontal="left"/>
      <protection hidden="1"/>
    </xf>
    <xf numFmtId="177" fontId="68" fillId="0" borderId="0" xfId="0" applyNumberFormat="1" applyFont="1">
      <alignment vertical="center"/>
    </xf>
    <xf numFmtId="0" fontId="68" fillId="0" borderId="0" xfId="0" applyFont="1" applyAlignment="1">
      <alignment horizontal="left" vertical="center"/>
    </xf>
    <xf numFmtId="2" fontId="68" fillId="24" borderId="0" xfId="0" applyNumberFormat="1" applyFont="1" applyFill="1" applyAlignment="1" applyProtection="1">
      <alignment horizontal="left"/>
      <protection hidden="1"/>
    </xf>
    <xf numFmtId="0" fontId="13" fillId="35" borderId="17" xfId="0" applyFont="1" applyFill="1" applyBorder="1" applyAlignment="1" applyProtection="1">
      <alignment horizontal="centerContinuous" vertical="center"/>
      <protection hidden="1"/>
    </xf>
    <xf numFmtId="177" fontId="13" fillId="35" borderId="10" xfId="35" applyNumberFormat="1" applyFont="1" applyFill="1" applyBorder="1" applyAlignment="1" applyProtection="1">
      <alignment horizontal="centerContinuous" vertical="center"/>
      <protection hidden="1"/>
    </xf>
    <xf numFmtId="0" fontId="13" fillId="35" borderId="39" xfId="0" applyFont="1" applyFill="1" applyBorder="1" applyAlignment="1" applyProtection="1">
      <alignment horizontal="centerContinuous" vertical="center"/>
      <protection hidden="1"/>
    </xf>
    <xf numFmtId="38" fontId="13" fillId="0" borderId="0" xfId="35" applyFont="1" applyFill="1" applyBorder="1" applyAlignment="1" applyProtection="1">
      <alignment horizontal="center"/>
      <protection hidden="1"/>
    </xf>
    <xf numFmtId="2" fontId="13" fillId="35" borderId="10" xfId="0" applyNumberFormat="1" applyFont="1" applyFill="1" applyBorder="1" applyAlignment="1" applyProtection="1">
      <protection hidden="1"/>
    </xf>
    <xf numFmtId="0" fontId="27" fillId="0" borderId="0" xfId="0" applyFont="1" applyAlignment="1">
      <alignment horizontal="left" vertical="top"/>
    </xf>
    <xf numFmtId="2" fontId="13" fillId="35" borderId="39" xfId="0" applyNumberFormat="1" applyFont="1" applyFill="1" applyBorder="1" applyAlignment="1" applyProtection="1">
      <protection hidden="1"/>
    </xf>
    <xf numFmtId="2" fontId="13" fillId="35" borderId="17" xfId="0" applyNumberFormat="1" applyFont="1" applyFill="1" applyBorder="1" applyAlignment="1" applyProtection="1">
      <protection hidden="1"/>
    </xf>
    <xf numFmtId="2" fontId="13" fillId="35" borderId="48" xfId="0" applyNumberFormat="1" applyFont="1" applyFill="1" applyBorder="1" applyAlignment="1" applyProtection="1">
      <alignment horizontal="center" vertical="top"/>
      <protection hidden="1"/>
    </xf>
    <xf numFmtId="2" fontId="13" fillId="35" borderId="17" xfId="0" applyNumberFormat="1" applyFont="1" applyFill="1" applyBorder="1" applyAlignment="1" applyProtection="1">
      <alignment horizontal="center" vertical="top"/>
      <protection hidden="1"/>
    </xf>
    <xf numFmtId="0" fontId="13" fillId="0" borderId="0" xfId="0" applyFont="1" applyAlignment="1">
      <alignment horizontal="center" vertical="top"/>
    </xf>
    <xf numFmtId="193" fontId="13" fillId="35" borderId="10" xfId="35" applyNumberFormat="1" applyFont="1" applyFill="1" applyBorder="1" applyAlignment="1" applyProtection="1">
      <alignment horizontal="center" vertical="top"/>
      <protection hidden="1"/>
    </xf>
    <xf numFmtId="193" fontId="13" fillId="35" borderId="48" xfId="35" applyNumberFormat="1" applyFont="1" applyFill="1" applyBorder="1" applyAlignment="1" applyProtection="1">
      <alignment horizontal="center" vertical="top"/>
      <protection hidden="1"/>
    </xf>
    <xf numFmtId="40" fontId="13" fillId="35" borderId="48" xfId="35" applyNumberFormat="1" applyFont="1" applyFill="1" applyBorder="1" applyAlignment="1" applyProtection="1">
      <alignment horizontal="center" vertical="top"/>
      <protection hidden="1"/>
    </xf>
    <xf numFmtId="38" fontId="5" fillId="0" borderId="0" xfId="35" applyFont="1" applyFill="1" applyBorder="1" applyAlignment="1" applyProtection="1">
      <alignment horizontal="center"/>
      <protection hidden="1"/>
    </xf>
    <xf numFmtId="193" fontId="2" fillId="35" borderId="10" xfId="35" applyNumberFormat="1" applyFont="1" applyFill="1" applyBorder="1" applyAlignment="1" applyProtection="1">
      <alignment horizontal="center" vertical="top"/>
      <protection hidden="1"/>
    </xf>
    <xf numFmtId="193" fontId="2" fillId="35" borderId="48" xfId="35" applyNumberFormat="1" applyFont="1" applyFill="1" applyBorder="1" applyAlignment="1" applyProtection="1">
      <alignment horizontal="center" vertical="top"/>
      <protection hidden="1"/>
    </xf>
    <xf numFmtId="193" fontId="2" fillId="35" borderId="17" xfId="0" applyNumberFormat="1" applyFont="1" applyFill="1" applyBorder="1" applyAlignment="1" applyProtection="1">
      <alignment horizontal="center" vertical="top"/>
      <protection hidden="1"/>
    </xf>
    <xf numFmtId="193" fontId="2" fillId="35" borderId="10" xfId="0" applyNumberFormat="1" applyFont="1" applyFill="1" applyBorder="1" applyAlignment="1" applyProtection="1">
      <alignment horizontal="center" vertical="top"/>
      <protection hidden="1"/>
    </xf>
    <xf numFmtId="0" fontId="2" fillId="0" borderId="0" xfId="0" applyFont="1" applyAlignment="1">
      <alignment horizontal="center" vertical="top"/>
    </xf>
    <xf numFmtId="0" fontId="27" fillId="0" borderId="0" xfId="0" applyFont="1" applyProtection="1">
      <alignment vertical="center"/>
      <protection hidden="1"/>
    </xf>
    <xf numFmtId="38" fontId="27" fillId="0" borderId="0" xfId="35" applyFont="1" applyFill="1" applyBorder="1" applyAlignment="1" applyProtection="1">
      <alignment horizontal="center"/>
      <protection hidden="1"/>
    </xf>
    <xf numFmtId="0" fontId="27" fillId="26" borderId="10" xfId="0" applyFont="1" applyFill="1" applyBorder="1" applyAlignment="1" applyProtection="1">
      <alignment horizontal="left" vertical="center"/>
      <protection hidden="1"/>
    </xf>
    <xf numFmtId="193" fontId="27" fillId="26" borderId="10" xfId="35" applyNumberFormat="1" applyFont="1" applyFill="1" applyBorder="1" applyAlignment="1" applyProtection="1">
      <alignment horizontal="center" vertical="center"/>
      <protection hidden="1"/>
    </xf>
    <xf numFmtId="193" fontId="27" fillId="26" borderId="17" xfId="35" applyNumberFormat="1" applyFont="1" applyFill="1" applyBorder="1" applyAlignment="1" applyProtection="1">
      <alignment horizontal="center" vertical="center"/>
      <protection hidden="1"/>
    </xf>
    <xf numFmtId="193" fontId="27" fillId="25" borderId="10" xfId="35" applyNumberFormat="1" applyFont="1" applyFill="1" applyBorder="1" applyAlignment="1" applyProtection="1">
      <alignment horizontal="center"/>
      <protection hidden="1"/>
    </xf>
    <xf numFmtId="193" fontId="27" fillId="25" borderId="48" xfId="35" applyNumberFormat="1" applyFont="1" applyFill="1" applyBorder="1" applyAlignment="1" applyProtection="1">
      <alignment horizontal="center" vertical="center"/>
      <protection hidden="1"/>
    </xf>
    <xf numFmtId="193" fontId="27" fillId="25" borderId="17" xfId="35" applyNumberFormat="1" applyFont="1" applyFill="1" applyBorder="1" applyAlignment="1" applyProtection="1">
      <alignment horizontal="center"/>
      <protection hidden="1"/>
    </xf>
    <xf numFmtId="193" fontId="13" fillId="25" borderId="10" xfId="35" applyNumberFormat="1" applyFont="1" applyFill="1" applyBorder="1" applyAlignment="1" applyProtection="1">
      <alignment horizontal="center" vertical="center"/>
      <protection hidden="1"/>
    </xf>
    <xf numFmtId="193" fontId="13" fillId="25" borderId="17" xfId="35" applyNumberFormat="1" applyFont="1" applyFill="1" applyBorder="1" applyAlignment="1" applyProtection="1">
      <alignment horizontal="center" vertical="center"/>
      <protection hidden="1"/>
    </xf>
    <xf numFmtId="193" fontId="13" fillId="25" borderId="48" xfId="35" applyNumberFormat="1" applyFont="1" applyFill="1" applyBorder="1" applyAlignment="1" applyProtection="1">
      <alignment horizontal="center" vertical="center"/>
      <protection hidden="1"/>
    </xf>
    <xf numFmtId="193" fontId="27" fillId="25" borderId="48" xfId="0" applyNumberFormat="1" applyFont="1" applyFill="1" applyBorder="1" applyAlignment="1" applyProtection="1">
      <alignment horizontal="center" vertical="center"/>
      <protection hidden="1"/>
    </xf>
    <xf numFmtId="193" fontId="13" fillId="25" borderId="48" xfId="0" applyNumberFormat="1" applyFont="1" applyFill="1" applyBorder="1" applyAlignment="1" applyProtection="1">
      <alignment horizontal="center" vertical="center"/>
      <protection hidden="1"/>
    </xf>
    <xf numFmtId="0" fontId="27" fillId="0" borderId="0" xfId="0" applyFont="1" applyAlignment="1">
      <alignment horizontal="center" vertical="top"/>
    </xf>
    <xf numFmtId="40" fontId="27" fillId="35" borderId="10" xfId="35" applyNumberFormat="1" applyFont="1" applyFill="1" applyBorder="1" applyAlignment="1" applyProtection="1">
      <alignment horizontal="center" vertical="top"/>
      <protection hidden="1"/>
    </xf>
    <xf numFmtId="40" fontId="27" fillId="35" borderId="48" xfId="35" applyNumberFormat="1" applyFont="1" applyFill="1" applyBorder="1" applyAlignment="1" applyProtection="1">
      <alignment horizontal="center" vertical="top"/>
      <protection hidden="1"/>
    </xf>
    <xf numFmtId="177" fontId="5" fillId="0" borderId="0" xfId="0" applyNumberFormat="1" applyFont="1">
      <alignment vertical="center"/>
    </xf>
    <xf numFmtId="177" fontId="27" fillId="0" borderId="0" xfId="0" applyNumberFormat="1" applyFont="1" applyProtection="1">
      <alignment vertical="center"/>
      <protection hidden="1"/>
    </xf>
    <xf numFmtId="193" fontId="27" fillId="25" borderId="10" xfId="35" applyNumberFormat="1" applyFont="1" applyFill="1" applyBorder="1" applyAlignment="1" applyProtection="1">
      <alignment horizontal="center" vertical="center"/>
      <protection hidden="1"/>
    </xf>
    <xf numFmtId="193" fontId="27" fillId="25" borderId="17" xfId="35" applyNumberFormat="1" applyFont="1" applyFill="1" applyBorder="1" applyAlignment="1" applyProtection="1">
      <alignment horizontal="center" vertical="center"/>
      <protection hidden="1"/>
    </xf>
    <xf numFmtId="177" fontId="13" fillId="0" borderId="0" xfId="0" applyNumberFormat="1" applyFont="1" applyProtection="1">
      <alignment vertical="center"/>
      <protection hidden="1"/>
    </xf>
    <xf numFmtId="193" fontId="27" fillId="25" borderId="48" xfId="35" applyNumberFormat="1" applyFont="1" applyFill="1" applyBorder="1" applyAlignment="1" applyProtection="1">
      <alignment horizontal="center"/>
      <protection hidden="1"/>
    </xf>
    <xf numFmtId="38" fontId="13" fillId="0" borderId="0" xfId="35" applyFont="1" applyFill="1" applyBorder="1" applyAlignment="1" applyProtection="1">
      <alignment horizontal="center" vertical="center"/>
      <protection hidden="1"/>
    </xf>
    <xf numFmtId="40" fontId="27" fillId="0" borderId="0" xfId="35" applyNumberFormat="1" applyFont="1" applyFill="1" applyBorder="1" applyAlignment="1" applyProtection="1">
      <alignment horizontal="right" vertical="center"/>
      <protection hidden="1"/>
    </xf>
    <xf numFmtId="40" fontId="27" fillId="0" borderId="0" xfId="35" applyNumberFormat="1" applyFont="1" applyFill="1" applyBorder="1" applyAlignment="1" applyProtection="1">
      <protection hidden="1"/>
    </xf>
    <xf numFmtId="0" fontId="5" fillId="25" borderId="10" xfId="0" applyFont="1" applyFill="1" applyBorder="1" applyAlignment="1" applyProtection="1">
      <alignment horizontal="center" vertical="center"/>
      <protection hidden="1"/>
    </xf>
    <xf numFmtId="188" fontId="27" fillId="25" borderId="10" xfId="0" applyNumberFormat="1" applyFont="1" applyFill="1" applyBorder="1">
      <alignment vertical="center"/>
    </xf>
    <xf numFmtId="40" fontId="13" fillId="0" borderId="0" xfId="35" applyNumberFormat="1" applyFont="1" applyFill="1" applyBorder="1" applyAlignment="1" applyProtection="1">
      <protection hidden="1"/>
    </xf>
    <xf numFmtId="193" fontId="13" fillId="25" borderId="10" xfId="35" applyNumberFormat="1" applyFont="1" applyFill="1" applyBorder="1" applyAlignment="1" applyProtection="1">
      <alignment horizontal="center"/>
      <protection hidden="1"/>
    </xf>
    <xf numFmtId="193" fontId="13" fillId="25" borderId="48" xfId="35" applyNumberFormat="1" applyFont="1" applyFill="1" applyBorder="1" applyAlignment="1" applyProtection="1">
      <alignment horizontal="center"/>
      <protection hidden="1"/>
    </xf>
    <xf numFmtId="193" fontId="13" fillId="25" borderId="17" xfId="35" applyNumberFormat="1" applyFont="1" applyFill="1" applyBorder="1" applyAlignment="1" applyProtection="1">
      <alignment horizontal="center"/>
      <protection hidden="1"/>
    </xf>
    <xf numFmtId="193" fontId="5" fillId="35" borderId="10" xfId="35" applyNumberFormat="1" applyFont="1" applyFill="1" applyBorder="1" applyAlignment="1" applyProtection="1">
      <alignment horizontal="center" vertical="top"/>
      <protection hidden="1"/>
    </xf>
    <xf numFmtId="193" fontId="5" fillId="35" borderId="48" xfId="35" applyNumberFormat="1" applyFont="1" applyFill="1" applyBorder="1" applyAlignment="1" applyProtection="1">
      <alignment horizontal="center" vertical="top"/>
      <protection hidden="1"/>
    </xf>
    <xf numFmtId="193" fontId="5" fillId="35" borderId="17" xfId="0" applyNumberFormat="1" applyFont="1" applyFill="1" applyBorder="1" applyAlignment="1" applyProtection="1">
      <alignment horizontal="center" vertical="top"/>
      <protection hidden="1"/>
    </xf>
    <xf numFmtId="0" fontId="27" fillId="25" borderId="10" xfId="0" quotePrefix="1" applyFont="1" applyFill="1" applyBorder="1" applyAlignment="1" applyProtection="1">
      <alignment horizontal="left" vertical="center"/>
      <protection hidden="1"/>
    </xf>
    <xf numFmtId="0" fontId="13" fillId="25" borderId="10" xfId="0" quotePrefix="1" applyFont="1" applyFill="1" applyBorder="1" applyAlignment="1" applyProtection="1">
      <alignment horizontal="left" vertical="center"/>
      <protection hidden="1"/>
    </xf>
    <xf numFmtId="40" fontId="13" fillId="0" borderId="0" xfId="35" applyNumberFormat="1" applyFont="1" applyFill="1" applyBorder="1" applyAlignment="1" applyProtection="1">
      <alignment vertical="center"/>
      <protection hidden="1"/>
    </xf>
    <xf numFmtId="40" fontId="13" fillId="0" borderId="0" xfId="35" applyNumberFormat="1" applyFont="1" applyFill="1" applyBorder="1" applyAlignment="1" applyProtection="1">
      <alignment horizontal="right" vertical="center"/>
      <protection hidden="1"/>
    </xf>
    <xf numFmtId="193" fontId="27" fillId="26" borderId="48" xfId="35" applyNumberFormat="1" applyFont="1" applyFill="1" applyBorder="1" applyAlignment="1" applyProtection="1">
      <alignment horizontal="center" vertical="center"/>
      <protection hidden="1"/>
    </xf>
    <xf numFmtId="193" fontId="27" fillId="26" borderId="17" xfId="0" applyNumberFormat="1" applyFont="1" applyFill="1" applyBorder="1" applyAlignment="1" applyProtection="1">
      <alignment horizontal="center"/>
      <protection hidden="1"/>
    </xf>
    <xf numFmtId="193" fontId="27" fillId="26" borderId="10" xfId="0" applyNumberFormat="1" applyFont="1" applyFill="1" applyBorder="1" applyAlignment="1" applyProtection="1">
      <alignment horizontal="center"/>
      <protection hidden="1"/>
    </xf>
    <xf numFmtId="193" fontId="27" fillId="25" borderId="17" xfId="0" applyNumberFormat="1" applyFont="1" applyFill="1" applyBorder="1" applyAlignment="1" applyProtection="1">
      <alignment horizontal="center"/>
      <protection hidden="1"/>
    </xf>
    <xf numFmtId="193" fontId="27" fillId="25" borderId="10" xfId="0" applyNumberFormat="1" applyFont="1" applyFill="1" applyBorder="1" applyAlignment="1" applyProtection="1">
      <alignment horizontal="center"/>
      <protection hidden="1"/>
    </xf>
    <xf numFmtId="193" fontId="13" fillId="25" borderId="17" xfId="0" applyNumberFormat="1" applyFont="1" applyFill="1" applyBorder="1" applyAlignment="1" applyProtection="1">
      <alignment horizontal="center"/>
      <protection hidden="1"/>
    </xf>
    <xf numFmtId="193" fontId="13" fillId="25" borderId="10" xfId="0" applyNumberFormat="1" applyFont="1" applyFill="1" applyBorder="1" applyAlignment="1" applyProtection="1">
      <alignment horizontal="center"/>
      <protection hidden="1"/>
    </xf>
    <xf numFmtId="0" fontId="3" fillId="0" borderId="0" xfId="0" applyFont="1" applyAlignment="1" applyProtection="1">
      <alignment horizontal="right" vertical="center"/>
      <protection hidden="1"/>
    </xf>
    <xf numFmtId="179" fontId="27" fillId="24" borderId="0" xfId="0" applyNumberFormat="1" applyFont="1" applyFill="1" applyProtection="1">
      <alignment vertical="center"/>
      <protection hidden="1"/>
    </xf>
    <xf numFmtId="179" fontId="10" fillId="26" borderId="38" xfId="0" applyNumberFormat="1" applyFont="1" applyFill="1" applyBorder="1" applyAlignment="1" applyProtection="1">
      <alignment horizontal="centerContinuous" vertical="center"/>
      <protection hidden="1"/>
    </xf>
    <xf numFmtId="179" fontId="10" fillId="26" borderId="39" xfId="0" applyNumberFormat="1" applyFont="1" applyFill="1" applyBorder="1" applyAlignment="1" applyProtection="1">
      <alignment horizontal="centerContinuous" vertical="center"/>
      <protection hidden="1"/>
    </xf>
    <xf numFmtId="179" fontId="10" fillId="26" borderId="48" xfId="0" applyNumberFormat="1" applyFont="1" applyFill="1" applyBorder="1" applyAlignment="1" applyProtection="1">
      <alignment horizontal="centerContinuous" vertical="center"/>
      <protection hidden="1"/>
    </xf>
    <xf numFmtId="179" fontId="10" fillId="26" borderId="17" xfId="0" applyNumberFormat="1" applyFont="1" applyFill="1" applyBorder="1" applyAlignment="1" applyProtection="1">
      <alignment horizontal="centerContinuous" vertical="center"/>
      <protection hidden="1"/>
    </xf>
    <xf numFmtId="0" fontId="5" fillId="25" borderId="23" xfId="44" applyFont="1" applyFill="1" applyBorder="1" applyAlignment="1">
      <alignment vertical="center"/>
    </xf>
    <xf numFmtId="0" fontId="27" fillId="25" borderId="0" xfId="0" applyFont="1" applyFill="1">
      <alignment vertical="center"/>
    </xf>
    <xf numFmtId="0" fontId="27" fillId="25" borderId="0" xfId="0" applyFont="1" applyFill="1" applyAlignment="1">
      <alignment horizontal="right" vertical="center"/>
    </xf>
    <xf numFmtId="177" fontId="13" fillId="25" borderId="41" xfId="44" applyNumberFormat="1" applyFont="1" applyFill="1" applyBorder="1" applyAlignment="1">
      <alignment horizontal="right" vertical="center"/>
    </xf>
    <xf numFmtId="0" fontId="6" fillId="25" borderId="0" xfId="0" applyFont="1" applyFill="1" applyAlignment="1">
      <alignment horizontal="left" vertical="center"/>
    </xf>
    <xf numFmtId="177" fontId="13" fillId="25" borderId="20" xfId="0" applyNumberFormat="1" applyFont="1" applyFill="1" applyBorder="1" applyAlignment="1">
      <alignment horizontal="right" vertical="center"/>
    </xf>
    <xf numFmtId="177" fontId="13" fillId="25" borderId="0" xfId="0" applyNumberFormat="1" applyFont="1" applyFill="1" applyAlignment="1">
      <alignment horizontal="right" vertical="center"/>
    </xf>
    <xf numFmtId="0" fontId="13" fillId="25" borderId="0" xfId="0" applyFont="1" applyFill="1" applyAlignment="1">
      <alignment horizontal="left" vertical="center"/>
    </xf>
    <xf numFmtId="206" fontId="13" fillId="25" borderId="10" xfId="0" applyNumberFormat="1" applyFont="1" applyFill="1" applyBorder="1">
      <alignment vertical="center"/>
    </xf>
    <xf numFmtId="177" fontId="13" fillId="25" borderId="0" xfId="0" applyNumberFormat="1" applyFont="1" applyFill="1" applyAlignment="1">
      <alignment horizontal="left" vertical="center"/>
    </xf>
    <xf numFmtId="206" fontId="13" fillId="25" borderId="0" xfId="0" applyNumberFormat="1" applyFont="1" applyFill="1">
      <alignment vertical="center"/>
    </xf>
    <xf numFmtId="38" fontId="13" fillId="25" borderId="0" xfId="35" applyFont="1" applyFill="1" applyBorder="1" applyAlignment="1">
      <alignment horizontal="right" vertical="center"/>
    </xf>
    <xf numFmtId="40" fontId="13" fillId="25" borderId="0" xfId="0" applyNumberFormat="1" applyFont="1" applyFill="1">
      <alignment vertical="center"/>
    </xf>
    <xf numFmtId="0" fontId="13" fillId="26" borderId="17" xfId="44" applyFont="1" applyFill="1" applyBorder="1" applyAlignment="1">
      <alignment horizontal="center" vertical="center"/>
    </xf>
    <xf numFmtId="180" fontId="13" fillId="26" borderId="10" xfId="44" applyNumberFormat="1" applyFont="1" applyFill="1" applyBorder="1" applyAlignment="1">
      <alignment horizontal="center" vertical="center"/>
    </xf>
    <xf numFmtId="0" fontId="13" fillId="25" borderId="0" xfId="44" applyFont="1" applyFill="1" applyAlignment="1" applyProtection="1">
      <alignment horizontal="left" vertical="center"/>
      <protection hidden="1"/>
    </xf>
    <xf numFmtId="177" fontId="13" fillId="25" borderId="48" xfId="44" applyNumberFormat="1" applyFont="1" applyFill="1" applyBorder="1" applyAlignment="1" applyProtection="1">
      <alignment horizontal="center" vertical="center"/>
      <protection hidden="1"/>
    </xf>
    <xf numFmtId="177" fontId="13" fillId="25" borderId="17" xfId="44" applyNumberFormat="1" applyFont="1" applyFill="1" applyBorder="1" applyAlignment="1" applyProtection="1">
      <alignment vertical="center"/>
      <protection hidden="1"/>
    </xf>
    <xf numFmtId="176" fontId="13" fillId="25" borderId="10" xfId="44" applyNumberFormat="1" applyFont="1" applyFill="1" applyBorder="1" applyAlignment="1" applyProtection="1">
      <alignment horizontal="center" vertical="center"/>
      <protection hidden="1"/>
    </xf>
    <xf numFmtId="9" fontId="13" fillId="25" borderId="10" xfId="28" applyFont="1" applyFill="1" applyBorder="1" applyAlignment="1">
      <alignment horizontal="center" vertical="center"/>
    </xf>
    <xf numFmtId="38" fontId="13" fillId="25" borderId="0" xfId="35" applyFont="1" applyFill="1" applyBorder="1" applyAlignment="1">
      <alignment horizontal="left" vertical="center"/>
    </xf>
    <xf numFmtId="38" fontId="13" fillId="25" borderId="20" xfId="35" applyFont="1" applyFill="1" applyBorder="1" applyAlignment="1">
      <alignment horizontal="right" vertical="center"/>
    </xf>
    <xf numFmtId="40" fontId="13" fillId="25" borderId="10" xfId="35" applyNumberFormat="1" applyFont="1" applyFill="1" applyBorder="1" applyAlignment="1" applyProtection="1">
      <alignment horizontal="right" vertical="center"/>
    </xf>
    <xf numFmtId="40" fontId="13" fillId="25" borderId="162" xfId="35" applyNumberFormat="1" applyFont="1" applyFill="1" applyBorder="1" applyAlignment="1">
      <alignment horizontal="right" vertical="center"/>
    </xf>
    <xf numFmtId="177" fontId="13" fillId="25" borderId="0" xfId="44" applyNumberFormat="1" applyFont="1" applyFill="1" applyAlignment="1">
      <alignment horizontal="right" vertical="center"/>
    </xf>
    <xf numFmtId="0" fontId="146" fillId="25" borderId="0" xfId="44" applyFont="1" applyFill="1" applyAlignment="1" applyProtection="1">
      <alignment horizontal="left" vertical="center"/>
      <protection hidden="1"/>
    </xf>
    <xf numFmtId="177" fontId="146" fillId="25" borderId="10" xfId="44" applyNumberFormat="1" applyFont="1" applyFill="1" applyBorder="1" applyAlignment="1" applyProtection="1">
      <alignment vertical="center"/>
      <protection hidden="1"/>
    </xf>
    <xf numFmtId="187" fontId="146" fillId="25" borderId="10" xfId="44" applyNumberFormat="1" applyFont="1" applyFill="1" applyBorder="1" applyAlignment="1" applyProtection="1">
      <alignment vertical="center"/>
      <protection hidden="1"/>
    </xf>
    <xf numFmtId="187" fontId="13" fillId="25" borderId="10" xfId="28" applyNumberFormat="1" applyFont="1" applyFill="1" applyBorder="1" applyAlignment="1">
      <alignment horizontal="center" vertical="center"/>
    </xf>
    <xf numFmtId="0" fontId="13" fillId="25" borderId="23" xfId="0" applyFont="1" applyFill="1" applyBorder="1">
      <alignment vertical="center"/>
    </xf>
    <xf numFmtId="40" fontId="13" fillId="25" borderId="41" xfId="35" applyNumberFormat="1" applyFont="1" applyFill="1" applyBorder="1" applyAlignment="1">
      <alignment horizontal="right" vertical="center"/>
    </xf>
    <xf numFmtId="0" fontId="13" fillId="25" borderId="20" xfId="0" applyFont="1" applyFill="1" applyBorder="1">
      <alignment vertical="center"/>
    </xf>
    <xf numFmtId="0" fontId="0" fillId="0" borderId="10" xfId="0" applyBorder="1" applyProtection="1">
      <alignment vertical="center"/>
      <protection hidden="1"/>
    </xf>
    <xf numFmtId="0" fontId="13" fillId="0" borderId="48" xfId="0" applyFont="1" applyBorder="1">
      <alignment vertical="center"/>
    </xf>
    <xf numFmtId="0" fontId="13" fillId="0" borderId="39" xfId="0" applyFont="1" applyBorder="1">
      <alignment vertical="center"/>
    </xf>
    <xf numFmtId="0" fontId="13" fillId="0" borderId="40" xfId="0" applyFont="1" applyBorder="1">
      <alignment vertical="center"/>
    </xf>
    <xf numFmtId="0" fontId="13" fillId="0" borderId="10" xfId="0" applyFont="1" applyBorder="1">
      <alignment vertical="center"/>
    </xf>
    <xf numFmtId="0" fontId="13" fillId="0" borderId="39" xfId="0" applyFont="1" applyBorder="1" applyAlignment="1">
      <alignment horizontal="center" vertical="center"/>
    </xf>
    <xf numFmtId="0" fontId="13" fillId="0" borderId="17" xfId="0" applyFont="1" applyBorder="1">
      <alignment vertical="center"/>
    </xf>
    <xf numFmtId="0" fontId="13" fillId="0" borderId="116" xfId="0" applyFont="1" applyBorder="1">
      <alignment vertical="center"/>
    </xf>
    <xf numFmtId="0" fontId="13" fillId="0" borderId="104" xfId="0" applyFont="1" applyBorder="1">
      <alignment vertical="center"/>
    </xf>
    <xf numFmtId="0" fontId="13" fillId="25" borderId="0" xfId="0" applyFont="1" applyFill="1" applyAlignment="1">
      <alignment horizontal="center" vertical="center"/>
    </xf>
    <xf numFmtId="40" fontId="13" fillId="25" borderId="162" xfId="35" applyNumberFormat="1" applyFont="1" applyFill="1" applyBorder="1" applyAlignment="1" applyProtection="1">
      <alignment horizontal="right" vertical="center"/>
    </xf>
    <xf numFmtId="0" fontId="145" fillId="25" borderId="0" xfId="0" applyFont="1" applyFill="1">
      <alignment vertical="center"/>
    </xf>
    <xf numFmtId="9" fontId="13" fillId="25" borderId="162" xfId="28" applyFont="1" applyFill="1" applyBorder="1" applyAlignment="1" applyProtection="1">
      <alignment horizontal="center" vertical="center"/>
      <protection hidden="1"/>
    </xf>
    <xf numFmtId="40" fontId="13" fillId="25" borderId="0" xfId="35" applyNumberFormat="1" applyFont="1" applyFill="1" applyBorder="1" applyAlignment="1" applyProtection="1">
      <alignment horizontal="right" vertical="center"/>
    </xf>
    <xf numFmtId="38" fontId="13" fillId="25" borderId="0" xfId="0" applyNumberFormat="1" applyFont="1" applyFill="1">
      <alignment vertical="center"/>
    </xf>
    <xf numFmtId="178" fontId="2" fillId="25" borderId="0" xfId="44" applyNumberFormat="1" applyFill="1" applyAlignment="1">
      <alignment horizontal="right" vertical="center"/>
    </xf>
    <xf numFmtId="176" fontId="63" fillId="0" borderId="0" xfId="0" applyNumberFormat="1" applyFont="1" applyAlignment="1" applyProtection="1">
      <alignment horizontal="center" vertical="center"/>
      <protection hidden="1"/>
    </xf>
    <xf numFmtId="0" fontId="13" fillId="25" borderId="10" xfId="44" applyFont="1" applyFill="1" applyBorder="1" applyAlignment="1">
      <alignment vertical="center"/>
    </xf>
    <xf numFmtId="0" fontId="3" fillId="25" borderId="0" xfId="44" applyFont="1" applyFill="1" applyAlignment="1">
      <alignment vertical="center"/>
    </xf>
    <xf numFmtId="0" fontId="0" fillId="25" borderId="0" xfId="44" applyFont="1" applyFill="1" applyAlignment="1">
      <alignment vertical="center"/>
    </xf>
    <xf numFmtId="0" fontId="13" fillId="26" borderId="167" xfId="44" applyFont="1" applyFill="1" applyBorder="1" applyAlignment="1">
      <alignment horizontal="center" vertical="center"/>
    </xf>
    <xf numFmtId="38" fontId="2" fillId="25" borderId="165" xfId="35" applyFont="1" applyFill="1" applyBorder="1" applyAlignment="1" applyProtection="1">
      <alignment horizontal="center" vertical="center"/>
    </xf>
    <xf numFmtId="38" fontId="13" fillId="25" borderId="10" xfId="44" applyNumberFormat="1" applyFont="1" applyFill="1" applyBorder="1" applyAlignment="1">
      <alignment vertical="center"/>
    </xf>
    <xf numFmtId="2" fontId="67" fillId="25" borderId="10" xfId="44" applyNumberFormat="1" applyFont="1" applyFill="1" applyBorder="1" applyAlignment="1">
      <alignment vertical="center"/>
    </xf>
    <xf numFmtId="0" fontId="13" fillId="46" borderId="0" xfId="0" applyFont="1" applyFill="1">
      <alignment vertical="center"/>
    </xf>
    <xf numFmtId="178" fontId="13" fillId="46" borderId="10" xfId="0" applyNumberFormat="1" applyFont="1" applyFill="1" applyBorder="1" applyAlignment="1">
      <alignment horizontal="right" vertical="center"/>
    </xf>
    <xf numFmtId="178" fontId="13" fillId="46" borderId="10" xfId="0" applyNumberFormat="1" applyFont="1" applyFill="1" applyBorder="1">
      <alignment vertical="center"/>
    </xf>
    <xf numFmtId="0" fontId="13" fillId="46" borderId="10" xfId="0" applyFont="1" applyFill="1" applyBorder="1" applyAlignment="1">
      <alignment vertical="center" wrapText="1"/>
    </xf>
    <xf numFmtId="0" fontId="13" fillId="46" borderId="10" xfId="0" applyFont="1" applyFill="1" applyBorder="1" applyAlignment="1">
      <alignment horizontal="right" vertical="center"/>
    </xf>
    <xf numFmtId="178" fontId="13" fillId="25" borderId="17" xfId="0" applyNumberFormat="1" applyFont="1" applyFill="1" applyBorder="1" applyAlignment="1">
      <alignment horizontal="right" vertical="center"/>
    </xf>
    <xf numFmtId="0" fontId="13" fillId="25" borderId="69" xfId="0" applyFont="1" applyFill="1" applyBorder="1" applyAlignment="1">
      <alignment horizontal="center" vertical="center" wrapText="1"/>
    </xf>
    <xf numFmtId="0" fontId="13" fillId="25" borderId="21" xfId="0" applyFont="1" applyFill="1" applyBorder="1" applyAlignment="1">
      <alignment horizontal="center" vertical="center" wrapText="1"/>
    </xf>
    <xf numFmtId="180" fontId="13" fillId="25" borderId="0" xfId="44" applyNumberFormat="1" applyFont="1" applyFill="1" applyAlignment="1">
      <alignment vertical="center"/>
    </xf>
    <xf numFmtId="0" fontId="29" fillId="31" borderId="75" xfId="0" applyFont="1" applyFill="1" applyBorder="1">
      <alignment vertical="center"/>
    </xf>
    <xf numFmtId="0" fontId="27" fillId="0" borderId="0" xfId="0" applyFont="1" applyAlignment="1"/>
    <xf numFmtId="0" fontId="0" fillId="47" borderId="0" xfId="0" applyFill="1">
      <alignment vertical="center"/>
    </xf>
    <xf numFmtId="0" fontId="3" fillId="47" borderId="0" xfId="0" applyFont="1" applyFill="1">
      <alignment vertical="center"/>
    </xf>
    <xf numFmtId="0" fontId="13" fillId="47" borderId="10" xfId="0" applyFont="1" applyFill="1" applyBorder="1">
      <alignment vertical="center"/>
    </xf>
    <xf numFmtId="207" fontId="13" fillId="47" borderId="10" xfId="0" applyNumberFormat="1" applyFont="1" applyFill="1" applyBorder="1">
      <alignment vertical="center"/>
    </xf>
    <xf numFmtId="0" fontId="0" fillId="47" borderId="21" xfId="0" quotePrefix="1" applyFill="1" applyBorder="1">
      <alignment vertical="center"/>
    </xf>
    <xf numFmtId="3" fontId="23" fillId="0" borderId="0" xfId="0" applyNumberFormat="1" applyFont="1" applyAlignment="1" applyProtection="1">
      <alignment horizontal="left" vertical="center"/>
      <protection locked="0"/>
    </xf>
    <xf numFmtId="202" fontId="27" fillId="26" borderId="127" xfId="35" applyNumberFormat="1" applyFont="1" applyFill="1" applyBorder="1" applyAlignment="1" applyProtection="1">
      <alignment horizontal="center" vertical="center"/>
      <protection locked="0" hidden="1"/>
    </xf>
    <xf numFmtId="40" fontId="13" fillId="25" borderId="10" xfId="35" applyNumberFormat="1" applyFont="1" applyFill="1" applyBorder="1" applyAlignment="1">
      <alignment horizontal="right" vertical="center"/>
    </xf>
    <xf numFmtId="40" fontId="13" fillId="25" borderId="10" xfId="0" applyNumberFormat="1" applyFont="1" applyFill="1" applyBorder="1">
      <alignment vertical="center"/>
    </xf>
    <xf numFmtId="38" fontId="13" fillId="25" borderId="10" xfId="0" applyNumberFormat="1" applyFont="1" applyFill="1" applyBorder="1">
      <alignment vertical="center"/>
    </xf>
    <xf numFmtId="0" fontId="3" fillId="0" borderId="0" xfId="0" applyFont="1" applyAlignment="1">
      <alignment horizontal="left" vertical="center"/>
    </xf>
    <xf numFmtId="0" fontId="3" fillId="24" borderId="0" xfId="0" applyFont="1" applyFill="1" applyAlignment="1">
      <alignment horizontal="left" vertical="center"/>
    </xf>
    <xf numFmtId="0" fontId="0" fillId="0" borderId="0" xfId="0" applyAlignment="1">
      <alignment horizontal="center" vertical="center"/>
    </xf>
    <xf numFmtId="0" fontId="0" fillId="48" borderId="10" xfId="0" applyFill="1" applyBorder="1">
      <alignment vertical="center"/>
    </xf>
    <xf numFmtId="0" fontId="0" fillId="49" borderId="10" xfId="0" applyFill="1" applyBorder="1">
      <alignment vertical="center"/>
    </xf>
    <xf numFmtId="0" fontId="0" fillId="48" borderId="10" xfId="0" applyFill="1" applyBorder="1" applyAlignment="1">
      <alignment horizontal="center" vertical="center"/>
    </xf>
    <xf numFmtId="0" fontId="0" fillId="0" borderId="10" xfId="0" applyBorder="1" applyAlignment="1">
      <alignment vertical="center" shrinkToFit="1"/>
    </xf>
    <xf numFmtId="0" fontId="0" fillId="0" borderId="10" xfId="0" applyBorder="1" applyAlignment="1">
      <alignment horizontal="center" vertical="center"/>
    </xf>
    <xf numFmtId="196" fontId="0" fillId="0" borderId="10" xfId="0" applyNumberFormat="1" applyBorder="1">
      <alignment vertical="center"/>
    </xf>
    <xf numFmtId="0" fontId="0" fillId="0" borderId="48" xfId="0" applyBorder="1">
      <alignment vertical="center"/>
    </xf>
    <xf numFmtId="9" fontId="64" fillId="47" borderId="10" xfId="0" applyNumberFormat="1" applyFont="1" applyFill="1" applyBorder="1" applyProtection="1">
      <alignment vertical="center"/>
      <protection hidden="1"/>
    </xf>
    <xf numFmtId="0" fontId="0" fillId="48" borderId="10" xfId="0" applyFill="1" applyBorder="1" applyAlignment="1">
      <alignment horizontal="right" vertical="center"/>
    </xf>
    <xf numFmtId="0" fontId="3" fillId="45" borderId="217" xfId="0" applyFont="1" applyFill="1" applyBorder="1">
      <alignment vertical="center"/>
    </xf>
    <xf numFmtId="0" fontId="3" fillId="45" borderId="219" xfId="0" applyFont="1" applyFill="1" applyBorder="1">
      <alignment vertical="center"/>
    </xf>
    <xf numFmtId="0" fontId="3" fillId="45" borderId="218" xfId="0" applyFont="1" applyFill="1" applyBorder="1" applyAlignment="1">
      <alignment horizontal="center" vertical="center"/>
    </xf>
    <xf numFmtId="0" fontId="3" fillId="45" borderId="220" xfId="0" applyFont="1" applyFill="1" applyBorder="1" applyAlignment="1">
      <alignment horizontal="center" vertical="center"/>
    </xf>
    <xf numFmtId="0" fontId="3" fillId="45" borderId="221" xfId="0" applyFont="1" applyFill="1" applyBorder="1" applyAlignment="1">
      <alignment horizontal="center" vertical="center"/>
    </xf>
    <xf numFmtId="0" fontId="3" fillId="45" borderId="222" xfId="0" applyFont="1" applyFill="1" applyBorder="1">
      <alignment vertical="center"/>
    </xf>
    <xf numFmtId="0" fontId="3" fillId="45" borderId="223" xfId="0" applyFont="1" applyFill="1" applyBorder="1">
      <alignment vertical="center"/>
    </xf>
    <xf numFmtId="0" fontId="3" fillId="45" borderId="224" xfId="0" applyFont="1" applyFill="1" applyBorder="1">
      <alignment vertical="center"/>
    </xf>
    <xf numFmtId="0" fontId="3" fillId="45" borderId="225" xfId="0" applyFont="1" applyFill="1" applyBorder="1">
      <alignment vertical="center"/>
    </xf>
    <xf numFmtId="0" fontId="3" fillId="45" borderId="226" xfId="0" applyFont="1" applyFill="1" applyBorder="1">
      <alignment vertical="center"/>
    </xf>
    <xf numFmtId="0" fontId="3" fillId="45" borderId="227" xfId="0" applyFont="1" applyFill="1" applyBorder="1">
      <alignment vertical="center"/>
    </xf>
    <xf numFmtId="0" fontId="0" fillId="0" borderId="24" xfId="0" applyBorder="1">
      <alignment vertical="center"/>
    </xf>
    <xf numFmtId="0" fontId="0" fillId="0" borderId="19" xfId="0" applyBorder="1">
      <alignment vertical="center"/>
    </xf>
    <xf numFmtId="0" fontId="0" fillId="0" borderId="229" xfId="0" applyBorder="1">
      <alignment vertical="center"/>
    </xf>
    <xf numFmtId="0" fontId="0" fillId="0" borderId="232" xfId="0" applyBorder="1">
      <alignment vertical="center"/>
    </xf>
    <xf numFmtId="209" fontId="0" fillId="0" borderId="229" xfId="0" applyNumberFormat="1" applyBorder="1">
      <alignment vertical="center"/>
    </xf>
    <xf numFmtId="209" fontId="0" fillId="0" borderId="19" xfId="0" applyNumberFormat="1" applyBorder="1">
      <alignment vertical="center"/>
    </xf>
    <xf numFmtId="0" fontId="0" fillId="0" borderId="233" xfId="0" applyBorder="1" applyAlignment="1">
      <alignment horizontal="center" vertical="center"/>
    </xf>
    <xf numFmtId="0" fontId="0" fillId="0" borderId="19" xfId="0" applyBorder="1" applyAlignment="1">
      <alignment horizontal="center" vertical="center"/>
    </xf>
    <xf numFmtId="0" fontId="5" fillId="0" borderId="23" xfId="0" applyFont="1" applyBorder="1">
      <alignment vertical="center"/>
    </xf>
    <xf numFmtId="204" fontId="27" fillId="26" borderId="41" xfId="0" applyNumberFormat="1" applyFont="1" applyFill="1" applyBorder="1" applyAlignment="1" applyProtection="1">
      <alignment horizontal="center" vertical="center"/>
      <protection locked="0"/>
    </xf>
    <xf numFmtId="0" fontId="151" fillId="50" borderId="75" xfId="0" applyFont="1" applyFill="1" applyBorder="1">
      <alignment vertical="center"/>
    </xf>
    <xf numFmtId="0" fontId="153" fillId="50" borderId="76" xfId="0" applyFont="1" applyFill="1" applyBorder="1">
      <alignment vertical="center"/>
    </xf>
    <xf numFmtId="0" fontId="153" fillId="50" borderId="77" xfId="0" applyFont="1" applyFill="1" applyBorder="1">
      <alignment vertical="center"/>
    </xf>
    <xf numFmtId="0" fontId="0" fillId="0" borderId="118" xfId="0" applyBorder="1">
      <alignment vertical="center"/>
    </xf>
    <xf numFmtId="0" fontId="0" fillId="0" borderId="234" xfId="0" applyBorder="1">
      <alignment vertical="center"/>
    </xf>
    <xf numFmtId="0" fontId="0" fillId="0" borderId="235" xfId="0" applyBorder="1">
      <alignment vertical="center"/>
    </xf>
    <xf numFmtId="0" fontId="0" fillId="0" borderId="67" xfId="0" applyBorder="1">
      <alignment vertical="center"/>
    </xf>
    <xf numFmtId="0" fontId="151" fillId="51" borderId="23" xfId="0" applyFont="1" applyFill="1" applyBorder="1">
      <alignment vertical="center"/>
    </xf>
    <xf numFmtId="0" fontId="153" fillId="51" borderId="0" xfId="0" applyFont="1" applyFill="1">
      <alignment vertical="center"/>
    </xf>
    <xf numFmtId="0" fontId="153" fillId="51" borderId="20" xfId="0" applyFont="1" applyFill="1" applyBorder="1">
      <alignment vertical="center"/>
    </xf>
    <xf numFmtId="0" fontId="0" fillId="0" borderId="23" xfId="0" applyBorder="1">
      <alignment vertical="center"/>
    </xf>
    <xf numFmtId="0" fontId="0" fillId="0" borderId="20" xfId="0" applyBorder="1">
      <alignment vertical="center"/>
    </xf>
    <xf numFmtId="0" fontId="0" fillId="0" borderId="244" xfId="0" applyBorder="1">
      <alignment vertical="center"/>
    </xf>
    <xf numFmtId="0" fontId="0" fillId="0" borderId="231" xfId="0" applyBorder="1" applyAlignment="1">
      <alignment horizontal="center" vertical="center"/>
    </xf>
    <xf numFmtId="0" fontId="0" fillId="0" borderId="230" xfId="0" applyBorder="1">
      <alignment vertical="center"/>
    </xf>
    <xf numFmtId="0" fontId="0" fillId="0" borderId="240" xfId="0" applyBorder="1" applyAlignment="1">
      <alignment horizontal="center" vertical="center"/>
    </xf>
    <xf numFmtId="0" fontId="151" fillId="51" borderId="74" xfId="0" applyFont="1" applyFill="1" applyBorder="1">
      <alignment vertical="center"/>
    </xf>
    <xf numFmtId="0" fontId="151" fillId="51" borderId="67" xfId="0" applyFont="1" applyFill="1" applyBorder="1">
      <alignment vertical="center"/>
    </xf>
    <xf numFmtId="0" fontId="151" fillId="51" borderId="70" xfId="0" applyFont="1" applyFill="1" applyBorder="1">
      <alignment vertical="center"/>
    </xf>
    <xf numFmtId="0" fontId="0" fillId="0" borderId="246" xfId="0" applyBorder="1">
      <alignment vertical="center"/>
    </xf>
    <xf numFmtId="0" fontId="0" fillId="0" borderId="237" xfId="0" applyBorder="1">
      <alignment vertical="center"/>
    </xf>
    <xf numFmtId="0" fontId="13" fillId="0" borderId="244" xfId="0" applyFont="1" applyBorder="1" applyAlignment="1">
      <alignment horizontal="right" vertical="center"/>
    </xf>
    <xf numFmtId="0" fontId="0" fillId="0" borderId="247" xfId="0" applyBorder="1">
      <alignment vertical="center"/>
    </xf>
    <xf numFmtId="0" fontId="13" fillId="0" borderId="246" xfId="0" applyFont="1" applyBorder="1">
      <alignment vertical="center"/>
    </xf>
    <xf numFmtId="0" fontId="0" fillId="0" borderId="242" xfId="0" applyBorder="1" applyAlignment="1">
      <alignment horizontal="center" vertical="center"/>
    </xf>
    <xf numFmtId="0" fontId="151" fillId="50" borderId="76" xfId="0" applyFont="1" applyFill="1" applyBorder="1">
      <alignment vertical="center"/>
    </xf>
    <xf numFmtId="0" fontId="151" fillId="50" borderId="77" xfId="0" applyFont="1" applyFill="1" applyBorder="1">
      <alignment vertical="center"/>
    </xf>
    <xf numFmtId="0" fontId="0" fillId="0" borderId="228" xfId="0" applyBorder="1">
      <alignment vertical="center"/>
    </xf>
    <xf numFmtId="2" fontId="0" fillId="0" borderId="229" xfId="0" applyNumberFormat="1" applyBorder="1">
      <alignment vertical="center"/>
    </xf>
    <xf numFmtId="0" fontId="0" fillId="0" borderId="249" xfId="0" applyBorder="1">
      <alignment vertical="center"/>
    </xf>
    <xf numFmtId="0" fontId="0" fillId="0" borderId="250" xfId="0" applyBorder="1">
      <alignment vertical="center"/>
    </xf>
    <xf numFmtId="0" fontId="154" fillId="0" borderId="0" xfId="0" applyFont="1">
      <alignment vertical="center"/>
    </xf>
    <xf numFmtId="0" fontId="0" fillId="0" borderId="252" xfId="0" applyBorder="1">
      <alignment vertical="center"/>
    </xf>
    <xf numFmtId="0" fontId="0" fillId="0" borderId="253" xfId="0" applyBorder="1">
      <alignment vertical="center"/>
    </xf>
    <xf numFmtId="0" fontId="0" fillId="0" borderId="255" xfId="0" applyBorder="1">
      <alignment vertical="center"/>
    </xf>
    <xf numFmtId="0" fontId="151" fillId="41" borderId="23" xfId="0" applyFont="1" applyFill="1" applyBorder="1">
      <alignment vertical="center"/>
    </xf>
    <xf numFmtId="0" fontId="153" fillId="41" borderId="0" xfId="0" applyFont="1" applyFill="1">
      <alignment vertical="center"/>
    </xf>
    <xf numFmtId="0" fontId="5" fillId="48" borderId="0" xfId="0" applyFont="1" applyFill="1">
      <alignment vertical="center"/>
    </xf>
    <xf numFmtId="0" fontId="0" fillId="48" borderId="0" xfId="0" applyFill="1">
      <alignment vertical="center"/>
    </xf>
    <xf numFmtId="0" fontId="0" fillId="48" borderId="20" xfId="0" applyFill="1" applyBorder="1">
      <alignment vertical="center"/>
    </xf>
    <xf numFmtId="0" fontId="0" fillId="48" borderId="0" xfId="0" applyFill="1" applyAlignment="1">
      <alignment horizontal="right" vertical="center"/>
    </xf>
    <xf numFmtId="0" fontId="5" fillId="48" borderId="228" xfId="0" applyFont="1" applyFill="1" applyBorder="1">
      <alignment vertical="center"/>
    </xf>
    <xf numFmtId="0" fontId="0" fillId="48" borderId="229" xfId="0" applyFill="1" applyBorder="1">
      <alignment vertical="center"/>
    </xf>
    <xf numFmtId="0" fontId="5" fillId="48" borderId="257" xfId="0" applyFont="1" applyFill="1" applyBorder="1">
      <alignment vertical="center"/>
    </xf>
    <xf numFmtId="0" fontId="0" fillId="48" borderId="246" xfId="0" applyFill="1" applyBorder="1">
      <alignment vertical="center"/>
    </xf>
    <xf numFmtId="0" fontId="5" fillId="0" borderId="74" xfId="0" applyFont="1" applyBorder="1">
      <alignment vertical="center"/>
    </xf>
    <xf numFmtId="0" fontId="5" fillId="48" borderId="66" xfId="0" applyFont="1" applyFill="1" applyBorder="1">
      <alignment vertical="center"/>
    </xf>
    <xf numFmtId="0" fontId="5" fillId="48" borderId="259" xfId="0" applyFont="1" applyFill="1" applyBorder="1">
      <alignment vertical="center"/>
    </xf>
    <xf numFmtId="0" fontId="0" fillId="0" borderId="258" xfId="0" applyBorder="1" applyAlignment="1">
      <alignment horizontal="center" vertical="center"/>
    </xf>
    <xf numFmtId="0" fontId="0" fillId="41" borderId="246" xfId="0" applyFill="1" applyBorder="1" applyAlignment="1">
      <alignment horizontal="right" vertical="center"/>
    </xf>
    <xf numFmtId="0" fontId="0" fillId="41" borderId="229" xfId="0" applyFill="1" applyBorder="1" applyAlignment="1">
      <alignment horizontal="right" vertical="center"/>
    </xf>
    <xf numFmtId="0" fontId="5" fillId="48" borderId="69" xfId="0" applyFont="1" applyFill="1" applyBorder="1">
      <alignment vertical="center"/>
    </xf>
    <xf numFmtId="0" fontId="0" fillId="41" borderId="21" xfId="0" applyFill="1" applyBorder="1" applyAlignment="1">
      <alignment horizontal="right" vertical="center"/>
    </xf>
    <xf numFmtId="0" fontId="0" fillId="0" borderId="261" xfId="0" applyBorder="1">
      <alignment vertical="center"/>
    </xf>
    <xf numFmtId="0" fontId="0" fillId="0" borderId="68" xfId="0" applyBorder="1">
      <alignment vertical="center"/>
    </xf>
    <xf numFmtId="0" fontId="5" fillId="48" borderId="11" xfId="0" applyFont="1" applyFill="1" applyBorder="1" applyAlignment="1">
      <alignment vertical="center" shrinkToFit="1"/>
    </xf>
    <xf numFmtId="0" fontId="7" fillId="48" borderId="259" xfId="0" applyFont="1" applyFill="1" applyBorder="1" applyAlignment="1">
      <alignment horizontal="center" vertical="center"/>
    </xf>
    <xf numFmtId="0" fontId="5" fillId="41" borderId="74" xfId="0" applyFont="1" applyFill="1" applyBorder="1">
      <alignment vertical="center"/>
    </xf>
    <xf numFmtId="0" fontId="0" fillId="41" borderId="67" xfId="0" applyFill="1" applyBorder="1">
      <alignment vertical="center"/>
    </xf>
    <xf numFmtId="0" fontId="0" fillId="41" borderId="70" xfId="0" applyFill="1" applyBorder="1">
      <alignment vertical="center"/>
    </xf>
    <xf numFmtId="0" fontId="0" fillId="41" borderId="23" xfId="0" applyFill="1" applyBorder="1">
      <alignment vertical="center"/>
    </xf>
    <xf numFmtId="0" fontId="0" fillId="48" borderId="238" xfId="0" applyFill="1" applyBorder="1">
      <alignment vertical="center"/>
    </xf>
    <xf numFmtId="0" fontId="0" fillId="41" borderId="229" xfId="0" applyFill="1" applyBorder="1">
      <alignment vertical="center"/>
    </xf>
    <xf numFmtId="0" fontId="5" fillId="48" borderId="11" xfId="0" applyFont="1" applyFill="1" applyBorder="1" applyAlignment="1">
      <alignment horizontal="left" vertical="center" shrinkToFit="1"/>
    </xf>
    <xf numFmtId="0" fontId="5" fillId="48" borderId="259" xfId="0" applyFont="1" applyFill="1" applyBorder="1" applyAlignment="1">
      <alignment horizontal="left" vertical="center" shrinkToFit="1"/>
    </xf>
    <xf numFmtId="0" fontId="0" fillId="41" borderId="230" xfId="0" applyFill="1" applyBorder="1">
      <alignment vertical="center"/>
    </xf>
    <xf numFmtId="0" fontId="0" fillId="41" borderId="24" xfId="0" applyFill="1" applyBorder="1">
      <alignment vertical="center"/>
    </xf>
    <xf numFmtId="0" fontId="0" fillId="41" borderId="250" xfId="0" applyFill="1" applyBorder="1" applyAlignment="1">
      <alignment horizontal="left" vertical="center"/>
    </xf>
    <xf numFmtId="0" fontId="0" fillId="41" borderId="250" xfId="0" applyFill="1" applyBorder="1">
      <alignment vertical="center"/>
    </xf>
    <xf numFmtId="0" fontId="0" fillId="41" borderId="251" xfId="0" applyFill="1" applyBorder="1">
      <alignment vertical="center"/>
    </xf>
    <xf numFmtId="196" fontId="0" fillId="45" borderId="10" xfId="0" applyNumberFormat="1" applyFill="1" applyBorder="1">
      <alignment vertical="center"/>
    </xf>
    <xf numFmtId="0" fontId="0" fillId="45" borderId="10" xfId="0" applyFill="1" applyBorder="1">
      <alignment vertical="center"/>
    </xf>
    <xf numFmtId="0" fontId="5" fillId="0" borderId="244" xfId="0" applyFont="1" applyBorder="1" applyAlignment="1">
      <alignment horizontal="center" vertical="center"/>
    </xf>
    <xf numFmtId="0" fontId="13" fillId="0" borderId="244" xfId="0" applyFont="1" applyBorder="1" applyAlignment="1">
      <alignment horizontal="center" vertical="center"/>
    </xf>
    <xf numFmtId="0" fontId="5" fillId="48" borderId="231" xfId="0" applyFont="1" applyFill="1" applyBorder="1" applyAlignment="1">
      <alignment horizontal="center" vertical="center"/>
    </xf>
    <xf numFmtId="0" fontId="0" fillId="48" borderId="230" xfId="0" applyFill="1" applyBorder="1">
      <alignment vertical="center"/>
    </xf>
    <xf numFmtId="0" fontId="5" fillId="0" borderId="229" xfId="0" applyFont="1" applyBorder="1">
      <alignment vertical="center"/>
    </xf>
    <xf numFmtId="0" fontId="5" fillId="0" borderId="229" xfId="0" applyFont="1" applyBorder="1" applyAlignment="1">
      <alignment horizontal="center" vertical="center"/>
    </xf>
    <xf numFmtId="0" fontId="5" fillId="0" borderId="246" xfId="0" applyFont="1" applyBorder="1">
      <alignment vertical="center"/>
    </xf>
    <xf numFmtId="0" fontId="5" fillId="0" borderId="246" xfId="0" applyFont="1" applyBorder="1" applyAlignment="1">
      <alignment horizontal="center" vertical="center"/>
    </xf>
    <xf numFmtId="0" fontId="5" fillId="0" borderId="49" xfId="0" applyFont="1" applyBorder="1">
      <alignment vertical="center"/>
    </xf>
    <xf numFmtId="0" fontId="5" fillId="0" borderId="49" xfId="0" quotePrefix="1" applyFont="1" applyBorder="1" applyAlignment="1">
      <alignment horizontal="center" vertical="center"/>
    </xf>
    <xf numFmtId="9" fontId="5" fillId="0" borderId="263" xfId="47" applyFont="1" applyBorder="1" applyAlignment="1" applyProtection="1">
      <alignment vertical="center" shrinkToFit="1"/>
    </xf>
    <xf numFmtId="9" fontId="1" fillId="0" borderId="19" xfId="47" applyFont="1" applyBorder="1" applyProtection="1">
      <alignment vertical="center"/>
    </xf>
    <xf numFmtId="0" fontId="5" fillId="0" borderId="25" xfId="0" applyFont="1" applyBorder="1">
      <alignment vertical="center"/>
    </xf>
    <xf numFmtId="0" fontId="5" fillId="0" borderId="75" xfId="0" applyFont="1" applyBorder="1">
      <alignment vertical="center"/>
    </xf>
    <xf numFmtId="0" fontId="0" fillId="0" borderId="76" xfId="0" applyBorder="1">
      <alignment vertical="center"/>
    </xf>
    <xf numFmtId="0" fontId="0" fillId="48" borderId="232" xfId="0" applyFill="1" applyBorder="1">
      <alignment vertical="center"/>
    </xf>
    <xf numFmtId="0" fontId="5" fillId="0" borderId="232" xfId="0" applyFont="1" applyBorder="1">
      <alignment vertical="center"/>
    </xf>
    <xf numFmtId="0" fontId="5" fillId="0" borderId="245" xfId="0" applyFont="1" applyBorder="1">
      <alignment vertical="center"/>
    </xf>
    <xf numFmtId="0" fontId="5" fillId="0" borderId="26" xfId="0" applyFont="1" applyBorder="1">
      <alignment vertical="center"/>
    </xf>
    <xf numFmtId="0" fontId="3" fillId="45" borderId="10" xfId="0" applyFont="1" applyFill="1" applyBorder="1" applyAlignment="1">
      <alignment horizontal="center" vertical="center"/>
    </xf>
    <xf numFmtId="0" fontId="0" fillId="0" borderId="248" xfId="0" applyBorder="1" applyAlignment="1">
      <alignment horizontal="right" vertical="center"/>
    </xf>
    <xf numFmtId="0" fontId="13" fillId="25" borderId="48" xfId="0" applyFont="1" applyFill="1" applyBorder="1">
      <alignment vertical="center"/>
    </xf>
    <xf numFmtId="0" fontId="13" fillId="45" borderId="0" xfId="0" applyFont="1" applyFill="1" applyAlignment="1"/>
    <xf numFmtId="206" fontId="13" fillId="45" borderId="10" xfId="0" applyNumberFormat="1" applyFont="1" applyFill="1" applyBorder="1">
      <alignment vertical="center"/>
    </xf>
    <xf numFmtId="0" fontId="0" fillId="41" borderId="229" xfId="0" applyFill="1" applyBorder="1" applyAlignment="1">
      <alignment horizontal="left" vertical="center"/>
    </xf>
    <xf numFmtId="0" fontId="0" fillId="0" borderId="251" xfId="0" applyBorder="1">
      <alignment vertical="center"/>
    </xf>
    <xf numFmtId="190" fontId="5" fillId="48" borderId="239" xfId="0" applyNumberFormat="1" applyFont="1" applyFill="1" applyBorder="1" applyAlignment="1">
      <alignment horizontal="center" vertical="center"/>
    </xf>
    <xf numFmtId="181" fontId="0" fillId="41" borderId="229" xfId="0" applyNumberFormat="1" applyFill="1" applyBorder="1">
      <alignment vertical="center"/>
    </xf>
    <xf numFmtId="207" fontId="0" fillId="41" borderId="229" xfId="0" applyNumberFormat="1" applyFill="1" applyBorder="1">
      <alignment vertical="center"/>
    </xf>
    <xf numFmtId="181" fontId="0" fillId="41" borderId="250" xfId="0" applyNumberFormat="1" applyFill="1" applyBorder="1">
      <alignment vertical="center"/>
    </xf>
    <xf numFmtId="207" fontId="0" fillId="41" borderId="250" xfId="0" applyNumberFormat="1" applyFill="1" applyBorder="1">
      <alignment vertical="center"/>
    </xf>
    <xf numFmtId="190" fontId="5" fillId="48" borderId="260" xfId="0" applyNumberFormat="1" applyFont="1" applyFill="1" applyBorder="1" applyAlignment="1">
      <alignment horizontal="center" vertical="center"/>
    </xf>
    <xf numFmtId="211" fontId="5" fillId="48" borderId="260" xfId="0" applyNumberFormat="1" applyFont="1" applyFill="1" applyBorder="1" applyAlignment="1">
      <alignment horizontal="center" vertical="center"/>
    </xf>
    <xf numFmtId="212" fontId="0" fillId="45" borderId="10" xfId="0" applyNumberFormat="1" applyFill="1" applyBorder="1">
      <alignment vertical="center"/>
    </xf>
    <xf numFmtId="212" fontId="0" fillId="0" borderId="10" xfId="0" applyNumberFormat="1" applyBorder="1">
      <alignment vertical="center"/>
    </xf>
    <xf numFmtId="0" fontId="0" fillId="0" borderId="267" xfId="0" applyBorder="1">
      <alignment vertical="center"/>
    </xf>
    <xf numFmtId="0" fontId="0" fillId="0" borderId="268" xfId="0" applyBorder="1">
      <alignment vertical="center"/>
    </xf>
    <xf numFmtId="0" fontId="0" fillId="0" borderId="260" xfId="0" applyBorder="1" applyAlignment="1">
      <alignment horizontal="center" vertical="center"/>
    </xf>
    <xf numFmtId="190" fontId="5" fillId="44" borderId="41" xfId="0" applyNumberFormat="1" applyFont="1" applyFill="1" applyBorder="1" applyAlignment="1" applyProtection="1">
      <alignment horizontal="center" vertical="center"/>
      <protection locked="0"/>
    </xf>
    <xf numFmtId="0" fontId="0" fillId="44" borderId="41" xfId="0" applyFill="1" applyBorder="1" applyAlignment="1" applyProtection="1">
      <alignment horizontal="center" vertical="center"/>
      <protection locked="0"/>
    </xf>
    <xf numFmtId="9" fontId="0" fillId="0" borderId="254" xfId="0" applyNumberFormat="1" applyBorder="1">
      <alignment vertical="center"/>
    </xf>
    <xf numFmtId="9" fontId="0" fillId="0" borderId="271" xfId="0" applyNumberFormat="1" applyBorder="1">
      <alignment vertical="center"/>
    </xf>
    <xf numFmtId="0" fontId="0" fillId="0" borderId="237" xfId="0" applyBorder="1" applyAlignment="1">
      <alignment horizontal="center" vertical="center"/>
    </xf>
    <xf numFmtId="0" fontId="0" fillId="41" borderId="236" xfId="0" applyFill="1" applyBorder="1" applyAlignment="1">
      <alignment horizontal="right" vertical="center"/>
    </xf>
    <xf numFmtId="0" fontId="0" fillId="48" borderId="234" xfId="0" applyFill="1" applyBorder="1" applyAlignment="1">
      <alignment horizontal="right" vertical="center"/>
    </xf>
    <xf numFmtId="0" fontId="0" fillId="0" borderId="271" xfId="0" applyBorder="1" applyAlignment="1">
      <alignment horizontal="center" vertical="center"/>
    </xf>
    <xf numFmtId="0" fontId="27" fillId="44" borderId="41" xfId="0" applyFont="1" applyFill="1" applyBorder="1" applyAlignment="1" applyProtection="1">
      <alignment horizontal="center" vertical="center"/>
      <protection locked="0"/>
    </xf>
    <xf numFmtId="0" fontId="0" fillId="48" borderId="67" xfId="0" applyFill="1" applyBorder="1">
      <alignment vertical="center"/>
    </xf>
    <xf numFmtId="0" fontId="0" fillId="41" borderId="278" xfId="0" applyFill="1" applyBorder="1" applyAlignment="1">
      <alignment horizontal="right" vertical="center"/>
    </xf>
    <xf numFmtId="0" fontId="0" fillId="41" borderId="0" xfId="0" applyFill="1" applyAlignment="1">
      <alignment horizontal="right" vertical="center"/>
    </xf>
    <xf numFmtId="0" fontId="0" fillId="41" borderId="237" xfId="0" applyFill="1" applyBorder="1" applyAlignment="1">
      <alignment horizontal="right" vertical="center"/>
    </xf>
    <xf numFmtId="0" fontId="0" fillId="44" borderId="279" xfId="0" applyFill="1" applyBorder="1" applyAlignment="1" applyProtection="1">
      <alignment horizontal="center" vertical="center"/>
      <protection locked="0"/>
    </xf>
    <xf numFmtId="0" fontId="0" fillId="44" borderId="85" xfId="0" applyFill="1" applyBorder="1" applyAlignment="1" applyProtection="1">
      <alignment horizontal="center" vertical="center"/>
      <protection locked="0"/>
    </xf>
    <xf numFmtId="0" fontId="5" fillId="48" borderId="11" xfId="0" applyFont="1" applyFill="1" applyBorder="1">
      <alignment vertical="center"/>
    </xf>
    <xf numFmtId="0" fontId="5" fillId="48" borderId="241" xfId="0" applyFont="1" applyFill="1" applyBorder="1" applyAlignment="1">
      <alignment horizontal="center" vertical="center"/>
    </xf>
    <xf numFmtId="0" fontId="0" fillId="41" borderId="0" xfId="0" applyFill="1">
      <alignment vertical="center"/>
    </xf>
    <xf numFmtId="0" fontId="0" fillId="44" borderId="280" xfId="0" applyFill="1" applyBorder="1" applyAlignment="1" applyProtection="1">
      <alignment horizontal="center" vertical="center"/>
      <protection locked="0"/>
    </xf>
    <xf numFmtId="0" fontId="0" fillId="44" borderId="281" xfId="0" applyFill="1" applyBorder="1" applyAlignment="1" applyProtection="1">
      <alignment horizontal="center" vertical="center"/>
      <protection locked="0"/>
    </xf>
    <xf numFmtId="0" fontId="0" fillId="48" borderId="67" xfId="0" applyFill="1" applyBorder="1" applyAlignment="1">
      <alignment horizontal="right" vertical="center"/>
    </xf>
    <xf numFmtId="0" fontId="0" fillId="48" borderId="11" xfId="0" applyFill="1" applyBorder="1" applyAlignment="1">
      <alignment horizontal="left" vertical="center" shrinkToFit="1"/>
    </xf>
    <xf numFmtId="0" fontId="0" fillId="48" borderId="78" xfId="0" applyFill="1" applyBorder="1" applyAlignment="1">
      <alignment horizontal="left" vertical="center" shrinkToFit="1"/>
    </xf>
    <xf numFmtId="1" fontId="0" fillId="0" borderId="0" xfId="0" applyNumberFormat="1">
      <alignment vertical="center"/>
    </xf>
    <xf numFmtId="0" fontId="0" fillId="44" borderId="228" xfId="0" applyFill="1" applyBorder="1">
      <alignment vertical="center"/>
    </xf>
    <xf numFmtId="31" fontId="13" fillId="44" borderId="228" xfId="0" applyNumberFormat="1" applyFont="1" applyFill="1" applyBorder="1" applyAlignment="1">
      <alignment horizontal="right" vertical="center"/>
    </xf>
    <xf numFmtId="0" fontId="0" fillId="0" borderId="282" xfId="0" applyBorder="1" applyAlignment="1">
      <alignment horizontal="right" vertical="center"/>
    </xf>
    <xf numFmtId="0" fontId="0" fillId="0" borderId="235" xfId="0" applyBorder="1" applyAlignment="1">
      <alignment horizontal="center" vertical="center"/>
    </xf>
    <xf numFmtId="0" fontId="0" fillId="0" borderId="274" xfId="0" applyBorder="1" applyAlignment="1">
      <alignment horizontal="right" vertical="center"/>
    </xf>
    <xf numFmtId="0" fontId="0" fillId="0" borderId="230" xfId="0" applyBorder="1" applyAlignment="1">
      <alignment horizontal="center" vertical="center"/>
    </xf>
    <xf numFmtId="0" fontId="0" fillId="0" borderId="245" xfId="0" applyBorder="1">
      <alignment vertical="center"/>
    </xf>
    <xf numFmtId="0" fontId="0" fillId="44" borderId="275" xfId="0" applyFill="1" applyBorder="1" applyAlignment="1">
      <alignment horizontal="center" vertical="center"/>
    </xf>
    <xf numFmtId="0" fontId="0" fillId="41" borderId="229" xfId="0" applyFill="1" applyBorder="1" applyAlignment="1">
      <alignment vertical="center" shrinkToFit="1"/>
    </xf>
    <xf numFmtId="0" fontId="0" fillId="41" borderId="248" xfId="0" applyFill="1" applyBorder="1" applyAlignment="1">
      <alignment vertical="center" shrinkToFit="1"/>
    </xf>
    <xf numFmtId="0" fontId="0" fillId="41" borderId="228" xfId="0" applyFill="1" applyBorder="1">
      <alignment vertical="center"/>
    </xf>
    <xf numFmtId="0" fontId="3" fillId="45" borderId="222" xfId="0" applyFont="1" applyFill="1" applyBorder="1" applyAlignment="1">
      <alignment horizontal="centerContinuous" vertical="center"/>
    </xf>
    <xf numFmtId="0" fontId="3" fillId="45" borderId="39" xfId="0" applyFont="1" applyFill="1" applyBorder="1" applyAlignment="1">
      <alignment horizontal="centerContinuous" vertical="center"/>
    </xf>
    <xf numFmtId="1" fontId="7" fillId="45" borderId="17" xfId="0" applyNumberFormat="1" applyFont="1" applyFill="1" applyBorder="1" applyAlignment="1">
      <alignment horizontal="centerContinuous" vertical="center"/>
    </xf>
    <xf numFmtId="178" fontId="13" fillId="24" borderId="10" xfId="48" applyNumberFormat="1" applyFont="1" applyFill="1" applyBorder="1" applyAlignment="1" applyProtection="1">
      <alignment horizontal="right" vertical="center"/>
      <protection locked="0"/>
    </xf>
    <xf numFmtId="2" fontId="10" fillId="30" borderId="10" xfId="0" applyNumberFormat="1" applyFont="1" applyFill="1" applyBorder="1" applyProtection="1">
      <alignment vertical="center"/>
      <protection locked="0"/>
    </xf>
    <xf numFmtId="0" fontId="13" fillId="0" borderId="10" xfId="0" applyFont="1" applyBorder="1" applyAlignment="1" applyProtection="1">
      <alignment horizontal="right" vertical="center" shrinkToFit="1"/>
      <protection locked="0"/>
    </xf>
    <xf numFmtId="0" fontId="5" fillId="48" borderId="229" xfId="0" applyFont="1" applyFill="1" applyBorder="1" applyAlignment="1">
      <alignment horizontal="center" vertical="center"/>
    </xf>
    <xf numFmtId="0" fontId="151" fillId="0" borderId="0" xfId="0" applyFont="1">
      <alignment vertical="center"/>
    </xf>
    <xf numFmtId="0" fontId="148" fillId="0" borderId="0" xfId="0" applyFont="1" applyAlignment="1">
      <alignment horizontal="right" vertical="center"/>
    </xf>
    <xf numFmtId="0" fontId="151" fillId="0" borderId="20" xfId="0" applyFont="1" applyBorder="1">
      <alignment vertical="center"/>
    </xf>
    <xf numFmtId="0" fontId="5" fillId="48" borderId="283" xfId="0" applyFont="1" applyFill="1" applyBorder="1" applyAlignment="1">
      <alignment horizontal="center" vertical="center"/>
    </xf>
    <xf numFmtId="0" fontId="0" fillId="48" borderId="284" xfId="0" applyFill="1" applyBorder="1">
      <alignment vertical="center"/>
    </xf>
    <xf numFmtId="0" fontId="0" fillId="48" borderId="70" xfId="0" applyFill="1" applyBorder="1">
      <alignment vertical="center"/>
    </xf>
    <xf numFmtId="9" fontId="0" fillId="0" borderId="237" xfId="47" applyFont="1" applyBorder="1" applyProtection="1">
      <alignment vertical="center"/>
    </xf>
    <xf numFmtId="9" fontId="1" fillId="0" borderId="237" xfId="47" applyFont="1" applyBorder="1" applyProtection="1">
      <alignment vertical="center"/>
    </xf>
    <xf numFmtId="9" fontId="0" fillId="0" borderId="243" xfId="47" applyFont="1" applyBorder="1" applyProtection="1">
      <alignment vertical="center"/>
    </xf>
    <xf numFmtId="0" fontId="7" fillId="25" borderId="0" xfId="0" applyFont="1" applyFill="1">
      <alignment vertical="center"/>
    </xf>
    <xf numFmtId="0" fontId="7" fillId="25" borderId="0" xfId="0" applyFont="1" applyFill="1" applyAlignment="1">
      <alignment horizontal="right" vertical="center"/>
    </xf>
    <xf numFmtId="0" fontId="64" fillId="0" borderId="161" xfId="0" applyFont="1" applyBorder="1" applyProtection="1">
      <alignment vertical="center"/>
      <protection hidden="1"/>
    </xf>
    <xf numFmtId="0" fontId="64" fillId="0" borderId="114" xfId="0" applyFont="1" applyBorder="1" applyProtection="1">
      <alignment vertical="center"/>
      <protection hidden="1"/>
    </xf>
    <xf numFmtId="0" fontId="64" fillId="0" borderId="160" xfId="0" applyFont="1" applyBorder="1" applyProtection="1">
      <alignment vertical="center"/>
      <protection hidden="1"/>
    </xf>
    <xf numFmtId="0" fontId="37" fillId="47" borderId="10" xfId="0" applyFont="1" applyFill="1" applyBorder="1" applyAlignment="1" applyProtection="1">
      <alignment horizontal="center" vertical="center"/>
      <protection hidden="1"/>
    </xf>
    <xf numFmtId="0" fontId="159" fillId="47" borderId="10" xfId="0" applyFont="1" applyFill="1" applyBorder="1" applyAlignment="1" applyProtection="1">
      <alignment horizontal="center" vertical="center"/>
      <protection hidden="1"/>
    </xf>
    <xf numFmtId="213" fontId="37" fillId="47" borderId="10" xfId="0" applyNumberFormat="1" applyFont="1" applyFill="1" applyBorder="1" applyAlignment="1" applyProtection="1">
      <alignment horizontal="center" vertical="center"/>
      <protection hidden="1"/>
    </xf>
    <xf numFmtId="177" fontId="64" fillId="47" borderId="10" xfId="0" applyNumberFormat="1" applyFont="1" applyFill="1" applyBorder="1" applyAlignment="1" applyProtection="1">
      <alignment horizontal="right" vertical="center"/>
      <protection hidden="1"/>
    </xf>
    <xf numFmtId="177" fontId="64" fillId="47" borderId="10" xfId="0" applyNumberFormat="1" applyFont="1" applyFill="1" applyBorder="1" applyProtection="1">
      <alignment vertical="center"/>
      <protection hidden="1"/>
    </xf>
    <xf numFmtId="199" fontId="3" fillId="0" borderId="293" xfId="0" applyNumberFormat="1" applyFont="1" applyBorder="1" applyAlignment="1" applyProtection="1">
      <alignment horizontal="left" vertical="center" wrapText="1"/>
      <protection locked="0"/>
    </xf>
    <xf numFmtId="199" fontId="3" fillId="0" borderId="294" xfId="0" applyNumberFormat="1" applyFont="1" applyBorder="1" applyAlignment="1" applyProtection="1">
      <alignment horizontal="left" vertical="center" wrapText="1"/>
      <protection locked="0"/>
    </xf>
    <xf numFmtId="199" fontId="3" fillId="0" borderId="303" xfId="0" applyNumberFormat="1" applyFont="1" applyBorder="1" applyAlignment="1" applyProtection="1">
      <alignment horizontal="left" vertical="center" wrapText="1"/>
      <protection locked="0"/>
    </xf>
    <xf numFmtId="0" fontId="38" fillId="0" borderId="290" xfId="0" applyFont="1" applyBorder="1" applyAlignment="1" applyProtection="1">
      <alignment horizontal="center" vertical="center" wrapText="1"/>
      <protection locked="0"/>
    </xf>
    <xf numFmtId="0" fontId="38" fillId="0" borderId="291" xfId="0" applyFont="1" applyBorder="1" applyAlignment="1" applyProtection="1">
      <alignment horizontal="center" vertical="center" wrapText="1"/>
      <protection locked="0"/>
    </xf>
    <xf numFmtId="0" fontId="38" fillId="0" borderId="158" xfId="0" applyFont="1" applyBorder="1" applyAlignment="1" applyProtection="1">
      <alignment horizontal="center" vertical="center" wrapText="1"/>
      <protection locked="0"/>
    </xf>
    <xf numFmtId="0" fontId="165" fillId="0" borderId="290" xfId="0" applyFont="1" applyBorder="1" applyAlignment="1" applyProtection="1">
      <alignment horizontal="center" vertical="center" wrapText="1"/>
      <protection locked="0"/>
    </xf>
    <xf numFmtId="0" fontId="165" fillId="0" borderId="291" xfId="0" applyFont="1" applyBorder="1" applyAlignment="1" applyProtection="1">
      <alignment horizontal="center" vertical="center" wrapText="1"/>
      <protection locked="0"/>
    </xf>
    <xf numFmtId="0" fontId="165" fillId="0" borderId="158" xfId="0" applyFont="1" applyBorder="1" applyAlignment="1" applyProtection="1">
      <alignment horizontal="center" vertical="center" wrapText="1"/>
      <protection locked="0"/>
    </xf>
    <xf numFmtId="199" fontId="157" fillId="0" borderId="301" xfId="0" applyNumberFormat="1" applyFont="1" applyBorder="1" applyAlignment="1" applyProtection="1">
      <alignment horizontal="left" vertical="center" wrapText="1"/>
      <protection locked="0"/>
    </xf>
    <xf numFmtId="199" fontId="165" fillId="0" borderId="158" xfId="0" applyNumberFormat="1" applyFont="1" applyBorder="1" applyAlignment="1" applyProtection="1">
      <alignment horizontal="center" vertical="center" wrapText="1"/>
      <protection locked="0"/>
    </xf>
    <xf numFmtId="0" fontId="165" fillId="0" borderId="187" xfId="0" applyFont="1" applyBorder="1" applyAlignment="1" applyProtection="1">
      <alignment horizontal="center" vertical="center" wrapText="1"/>
      <protection locked="0"/>
    </xf>
    <xf numFmtId="0" fontId="165" fillId="0" borderId="288" xfId="0" applyFont="1" applyBorder="1" applyAlignment="1" applyProtection="1">
      <alignment horizontal="center" vertical="center" wrapText="1"/>
      <protection locked="0"/>
    </xf>
    <xf numFmtId="0" fontId="165" fillId="0" borderId="191" xfId="0" applyFont="1" applyBorder="1" applyAlignment="1" applyProtection="1">
      <alignment horizontal="center" vertical="center" wrapText="1"/>
      <protection locked="0"/>
    </xf>
    <xf numFmtId="0" fontId="38" fillId="0" borderId="306" xfId="0" applyFont="1" applyBorder="1" applyAlignment="1" applyProtection="1">
      <alignment horizontal="center" vertical="center" wrapText="1"/>
      <protection locked="0"/>
    </xf>
    <xf numFmtId="0" fontId="38" fillId="0" borderId="304" xfId="0" applyFont="1" applyBorder="1" applyAlignment="1" applyProtection="1">
      <alignment horizontal="center" vertical="center" wrapText="1"/>
      <protection locked="0"/>
    </xf>
    <xf numFmtId="199" fontId="3" fillId="0" borderId="304" xfId="0" applyNumberFormat="1" applyFont="1" applyBorder="1" applyAlignment="1" applyProtection="1">
      <alignment horizontal="left" vertical="center" wrapText="1"/>
      <protection locked="0"/>
    </xf>
    <xf numFmtId="199" fontId="38" fillId="0" borderId="150" xfId="0" applyNumberFormat="1" applyFont="1" applyBorder="1" applyAlignment="1" applyProtection="1">
      <alignment horizontal="center" vertical="center" wrapText="1"/>
      <protection locked="0"/>
    </xf>
    <xf numFmtId="0" fontId="38" fillId="0" borderId="300" xfId="0" applyFont="1" applyBorder="1" applyAlignment="1" applyProtection="1">
      <alignment horizontal="center" vertical="center" wrapText="1"/>
      <protection locked="0"/>
    </xf>
    <xf numFmtId="0" fontId="38" fillId="0" borderId="286" xfId="0" applyFont="1" applyBorder="1" applyAlignment="1" applyProtection="1">
      <alignment horizontal="center" vertical="center" wrapText="1"/>
      <protection locked="0"/>
    </xf>
    <xf numFmtId="199" fontId="3" fillId="0" borderId="285" xfId="0" applyNumberFormat="1" applyFont="1" applyBorder="1" applyAlignment="1" applyProtection="1">
      <alignment horizontal="left" vertical="center" wrapText="1"/>
      <protection locked="0"/>
    </xf>
    <xf numFmtId="199" fontId="38" fillId="0" borderId="147" xfId="0" applyNumberFormat="1" applyFont="1" applyBorder="1" applyAlignment="1" applyProtection="1">
      <alignment horizontal="center" vertical="center" wrapText="1"/>
      <protection locked="0"/>
    </xf>
    <xf numFmtId="0" fontId="38" fillId="0" borderId="297" xfId="0" applyFont="1" applyBorder="1" applyAlignment="1" applyProtection="1">
      <alignment horizontal="center" vertical="center" wrapText="1"/>
      <protection locked="0"/>
    </xf>
    <xf numFmtId="0" fontId="38" fillId="0" borderId="299" xfId="0" applyFont="1" applyBorder="1" applyAlignment="1" applyProtection="1">
      <alignment horizontal="center" vertical="center" wrapText="1"/>
      <protection locked="0"/>
    </xf>
    <xf numFmtId="0" fontId="38" fillId="0" borderId="309" xfId="0" applyFont="1" applyBorder="1" applyAlignment="1" applyProtection="1">
      <alignment horizontal="center" vertical="center" wrapText="1"/>
      <protection locked="0"/>
    </xf>
    <xf numFmtId="0" fontId="64" fillId="47" borderId="10" xfId="0" applyFont="1" applyFill="1" applyBorder="1" applyProtection="1">
      <alignment vertical="center"/>
      <protection hidden="1"/>
    </xf>
    <xf numFmtId="0" fontId="47" fillId="0" borderId="24" xfId="0" applyFont="1" applyBorder="1" applyProtection="1">
      <alignment vertical="center"/>
      <protection hidden="1"/>
    </xf>
    <xf numFmtId="0" fontId="13" fillId="0" borderId="0" xfId="0" applyFont="1" applyAlignment="1">
      <alignment horizontal="left" vertical="center" wrapText="1"/>
    </xf>
    <xf numFmtId="0" fontId="160" fillId="0" borderId="0" xfId="0" applyFont="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left" vertical="center" wrapText="1"/>
    </xf>
    <xf numFmtId="0" fontId="38" fillId="0" borderId="0" xfId="0" applyFont="1" applyAlignment="1">
      <alignment horizontal="center" vertical="center"/>
    </xf>
    <xf numFmtId="0" fontId="38" fillId="0" borderId="0" xfId="0" applyFont="1" applyAlignment="1">
      <alignment horizontal="right" vertical="center"/>
    </xf>
    <xf numFmtId="177" fontId="68" fillId="0" borderId="0" xfId="0" applyNumberFormat="1" applyFont="1" applyAlignment="1">
      <alignment horizontal="center" vertical="center"/>
    </xf>
    <xf numFmtId="199" fontId="68" fillId="0" borderId="0" xfId="0" applyNumberFormat="1" applyFont="1" applyAlignment="1">
      <alignment horizontal="center" vertical="center"/>
    </xf>
    <xf numFmtId="0" fontId="61" fillId="0" borderId="0" xfId="0" applyFont="1">
      <alignment vertical="center"/>
    </xf>
    <xf numFmtId="0" fontId="161" fillId="0" borderId="0" xfId="0" applyFont="1" applyAlignment="1">
      <alignment horizontal="left" vertical="center"/>
    </xf>
    <xf numFmtId="0" fontId="3" fillId="0" borderId="0" xfId="0" applyFont="1" applyAlignment="1">
      <alignment horizontal="left" vertical="center" wrapText="1"/>
    </xf>
    <xf numFmtId="0" fontId="61" fillId="0" borderId="0" xfId="0" applyFont="1" applyAlignment="1">
      <alignment horizontal="left" vertical="center"/>
    </xf>
    <xf numFmtId="0" fontId="3" fillId="0" borderId="21" xfId="0" applyFont="1" applyBorder="1">
      <alignment vertical="center"/>
    </xf>
    <xf numFmtId="0" fontId="172" fillId="0" borderId="21" xfId="0" applyFont="1" applyBorder="1" applyAlignment="1">
      <alignment horizontal="left" vertical="center"/>
    </xf>
    <xf numFmtId="0" fontId="38" fillId="0" borderId="21" xfId="0" applyFont="1" applyBorder="1">
      <alignment vertical="center"/>
    </xf>
    <xf numFmtId="0" fontId="38" fillId="0" borderId="21" xfId="0" applyFont="1" applyBorder="1" applyAlignment="1">
      <alignment horizontal="center" vertical="center"/>
    </xf>
    <xf numFmtId="0" fontId="13" fillId="0" borderId="16" xfId="0" applyFont="1" applyBorder="1" applyAlignment="1">
      <alignment vertical="center" wrapText="1"/>
    </xf>
    <xf numFmtId="0" fontId="162" fillId="51" borderId="67" xfId="0" applyFont="1" applyFill="1" applyBorder="1" applyAlignment="1">
      <alignment horizontal="center" vertical="center"/>
    </xf>
    <xf numFmtId="0" fontId="170" fillId="51" borderId="48" xfId="0" applyFont="1" applyFill="1" applyBorder="1" applyAlignment="1">
      <alignment horizontal="center" vertical="center" shrinkToFit="1"/>
    </xf>
    <xf numFmtId="0" fontId="170" fillId="51" borderId="10" xfId="0" applyFont="1" applyFill="1" applyBorder="1" applyAlignment="1">
      <alignment horizontal="center" vertical="center" shrinkToFit="1"/>
    </xf>
    <xf numFmtId="0" fontId="162" fillId="0" borderId="0" xfId="0" applyFont="1" applyAlignment="1">
      <alignment vertical="center" wrapText="1"/>
    </xf>
    <xf numFmtId="199" fontId="162" fillId="51" borderId="287" xfId="0" applyNumberFormat="1" applyFont="1" applyFill="1" applyBorder="1" applyAlignment="1">
      <alignment horizontal="center" vertical="center" wrapText="1"/>
    </xf>
    <xf numFmtId="0" fontId="171" fillId="51" borderId="48" xfId="0" applyFont="1" applyFill="1" applyBorder="1" applyAlignment="1">
      <alignment horizontal="center" vertical="center" shrinkToFit="1"/>
    </xf>
    <xf numFmtId="0" fontId="171" fillId="51" borderId="10" xfId="0" applyFont="1" applyFill="1" applyBorder="1" applyAlignment="1">
      <alignment horizontal="center" vertical="center" shrinkToFit="1"/>
    </xf>
    <xf numFmtId="0" fontId="170" fillId="51" borderId="39" xfId="0" applyFont="1" applyFill="1" applyBorder="1" applyAlignment="1">
      <alignment horizontal="center" vertical="center"/>
    </xf>
    <xf numFmtId="0" fontId="170" fillId="51" borderId="17" xfId="0" applyFont="1" applyFill="1" applyBorder="1" applyAlignment="1">
      <alignment horizontal="center" vertical="center"/>
    </xf>
    <xf numFmtId="0" fontId="0" fillId="0" borderId="16" xfId="0" applyBorder="1" applyAlignment="1">
      <alignment horizontal="center" vertical="center"/>
    </xf>
    <xf numFmtId="0" fontId="164" fillId="52" borderId="10" xfId="0" applyFont="1" applyFill="1" applyBorder="1" applyAlignment="1">
      <alignment vertical="top" wrapText="1"/>
    </xf>
    <xf numFmtId="49" fontId="3" fillId="43" borderId="69" xfId="0" applyNumberFormat="1" applyFont="1" applyFill="1" applyBorder="1" applyAlignment="1">
      <alignment horizontal="left" vertical="center"/>
    </xf>
    <xf numFmtId="49" fontId="3" fillId="43" borderId="21" xfId="0" applyNumberFormat="1" applyFont="1" applyFill="1" applyBorder="1" applyAlignment="1">
      <alignment horizontal="left" vertical="center" wrapText="1"/>
    </xf>
    <xf numFmtId="49" fontId="3" fillId="43" borderId="21" xfId="0" applyNumberFormat="1" applyFont="1" applyFill="1" applyBorder="1" applyAlignment="1">
      <alignment horizontal="left" vertical="center"/>
    </xf>
    <xf numFmtId="0" fontId="3" fillId="43" borderId="21" xfId="0" applyFont="1" applyFill="1" applyBorder="1" applyAlignment="1">
      <alignment horizontal="center" vertical="center"/>
    </xf>
    <xf numFmtId="0" fontId="38" fillId="43" borderId="21" xfId="0" applyFont="1" applyFill="1" applyBorder="1" applyAlignment="1">
      <alignment horizontal="center" vertical="center" wrapText="1"/>
    </xf>
    <xf numFmtId="0" fontId="13" fillId="43" borderId="21" xfId="0" applyFont="1" applyFill="1" applyBorder="1" applyAlignment="1">
      <alignment horizontal="center" vertical="center"/>
    </xf>
    <xf numFmtId="199" fontId="38" fillId="43" borderId="21" xfId="0" applyNumberFormat="1" applyFont="1" applyFill="1" applyBorder="1" applyAlignment="1">
      <alignment horizontal="center" vertical="center" wrapText="1"/>
    </xf>
    <xf numFmtId="0" fontId="38" fillId="43" borderId="51" xfId="0" applyFont="1" applyFill="1" applyBorder="1" applyAlignment="1">
      <alignment horizontal="center" vertical="center"/>
    </xf>
    <xf numFmtId="0" fontId="13" fillId="43" borderId="48" xfId="0" applyFont="1" applyFill="1" applyBorder="1" applyAlignment="1">
      <alignment horizontal="center" shrinkToFit="1"/>
    </xf>
    <xf numFmtId="0" fontId="13" fillId="43" borderId="39" xfId="0" applyFont="1" applyFill="1" applyBorder="1" applyAlignment="1">
      <alignment horizontal="center" shrinkToFit="1"/>
    </xf>
    <xf numFmtId="0" fontId="13" fillId="43" borderId="39" xfId="0" applyFont="1" applyFill="1" applyBorder="1" applyAlignment="1">
      <alignment horizontal="center" vertical="center"/>
    </xf>
    <xf numFmtId="49" fontId="3" fillId="43" borderId="0" xfId="0" applyNumberFormat="1" applyFont="1" applyFill="1" applyAlignment="1">
      <alignment horizontal="left" vertical="center"/>
    </xf>
    <xf numFmtId="0" fontId="13" fillId="43" borderId="0" xfId="0" applyFont="1" applyFill="1" applyAlignment="1">
      <alignment horizontal="center" vertical="center"/>
    </xf>
    <xf numFmtId="0" fontId="13" fillId="53" borderId="40" xfId="0" applyFont="1" applyFill="1" applyBorder="1" applyAlignment="1">
      <alignment horizontal="left" vertical="top" wrapText="1"/>
    </xf>
    <xf numFmtId="49" fontId="3" fillId="43" borderId="11" xfId="0" applyNumberFormat="1" applyFont="1" applyFill="1" applyBorder="1" applyAlignment="1">
      <alignment horizontal="left" vertical="center"/>
    </xf>
    <xf numFmtId="49" fontId="3" fillId="43" borderId="0" xfId="0" applyNumberFormat="1" applyFont="1" applyFill="1" applyAlignment="1">
      <alignment horizontal="left" vertical="center" wrapText="1"/>
    </xf>
    <xf numFmtId="0" fontId="3" fillId="43" borderId="0" xfId="0" applyFont="1" applyFill="1" applyAlignment="1">
      <alignment horizontal="center" vertical="center"/>
    </xf>
    <xf numFmtId="0" fontId="38" fillId="43" borderId="0" xfId="0" applyFont="1" applyFill="1" applyAlignment="1">
      <alignment horizontal="center" vertical="center" wrapText="1"/>
    </xf>
    <xf numFmtId="199" fontId="38" fillId="43" borderId="0" xfId="0" applyNumberFormat="1" applyFont="1" applyFill="1" applyAlignment="1">
      <alignment horizontal="center" vertical="center" wrapText="1"/>
    </xf>
    <xf numFmtId="0" fontId="38" fillId="43" borderId="16" xfId="0" applyFont="1" applyFill="1" applyBorder="1" applyAlignment="1">
      <alignment horizontal="center" vertical="center"/>
    </xf>
    <xf numFmtId="0" fontId="3" fillId="43" borderId="48" xfId="0" applyFont="1" applyFill="1" applyBorder="1" applyAlignment="1">
      <alignment horizontal="center" vertical="center" shrinkToFit="1"/>
    </xf>
    <xf numFmtId="0" fontId="3" fillId="43" borderId="39" xfId="0" applyFont="1" applyFill="1" applyBorder="1" applyAlignment="1">
      <alignment horizontal="center" vertical="center" shrinkToFit="1"/>
    </xf>
    <xf numFmtId="0" fontId="13" fillId="43" borderId="39" xfId="0" applyFont="1" applyFill="1" applyBorder="1" applyAlignment="1">
      <alignment horizontal="centerContinuous" vertical="center"/>
    </xf>
    <xf numFmtId="49" fontId="10" fillId="0" borderId="48" xfId="0" applyNumberFormat="1" applyFont="1" applyBorder="1" applyAlignment="1">
      <alignment horizontal="left" vertical="center"/>
    </xf>
    <xf numFmtId="49" fontId="10" fillId="0" borderId="39" xfId="0" applyNumberFormat="1" applyFont="1" applyBorder="1" applyAlignment="1">
      <alignment horizontal="left" vertical="center" wrapText="1"/>
    </xf>
    <xf numFmtId="49" fontId="3" fillId="0" borderId="39" xfId="0" applyNumberFormat="1" applyFont="1" applyBorder="1" applyAlignment="1">
      <alignment horizontal="left" vertical="center"/>
    </xf>
    <xf numFmtId="0" fontId="3" fillId="0" borderId="39" xfId="0" applyFont="1" applyBorder="1" applyAlignment="1">
      <alignment horizontal="left" vertical="center"/>
    </xf>
    <xf numFmtId="0" fontId="3" fillId="0" borderId="39" xfId="0" applyFont="1" applyBorder="1">
      <alignment vertical="center"/>
    </xf>
    <xf numFmtId="0" fontId="38" fillId="0" borderId="39" xfId="0" applyFont="1" applyBorder="1">
      <alignment vertical="center"/>
    </xf>
    <xf numFmtId="199" fontId="3" fillId="0" borderId="39" xfId="0" applyNumberFormat="1" applyFont="1" applyBorder="1" applyAlignment="1">
      <alignment horizontal="left" vertical="center"/>
    </xf>
    <xf numFmtId="199" fontId="38" fillId="0" borderId="39" xfId="0" applyNumberFormat="1" applyFont="1" applyBorder="1" applyAlignment="1">
      <alignment horizontal="center" vertical="center"/>
    </xf>
    <xf numFmtId="199" fontId="38" fillId="0" borderId="17" xfId="0" applyNumberFormat="1" applyFont="1" applyBorder="1" applyAlignment="1">
      <alignment horizontal="center" vertical="center"/>
    </xf>
    <xf numFmtId="177" fontId="68" fillId="0" borderId="147" xfId="0" applyNumberFormat="1" applyFont="1" applyBorder="1" applyAlignment="1">
      <alignment horizontal="center" vertical="top"/>
    </xf>
    <xf numFmtId="199" fontId="68" fillId="0" borderId="289" xfId="0" applyNumberFormat="1" applyFont="1" applyBorder="1" applyAlignment="1">
      <alignment horizontal="center" vertical="top"/>
    </xf>
    <xf numFmtId="213" fontId="68" fillId="0" borderId="16" xfId="0" applyNumberFormat="1" applyFont="1" applyBorder="1">
      <alignment vertical="center"/>
    </xf>
    <xf numFmtId="49" fontId="3" fillId="0" borderId="190" xfId="0" applyNumberFormat="1" applyFont="1" applyBorder="1" applyAlignment="1">
      <alignment horizontal="center" vertical="center" shrinkToFit="1"/>
    </xf>
    <xf numFmtId="0" fontId="3" fillId="0" borderId="292" xfId="0" applyFont="1" applyBorder="1" applyAlignment="1">
      <alignment horizontal="left" vertical="center" wrapText="1"/>
    </xf>
    <xf numFmtId="0" fontId="3" fillId="0" borderId="157" xfId="0" applyFont="1" applyBorder="1" applyAlignment="1">
      <alignment vertical="center" wrapText="1"/>
    </xf>
    <xf numFmtId="0" fontId="38" fillId="55" borderId="186" xfId="0" applyFont="1" applyFill="1" applyBorder="1" applyAlignment="1">
      <alignment horizontal="center" vertical="center" wrapText="1"/>
    </xf>
    <xf numFmtId="0" fontId="38" fillId="55" borderId="293" xfId="0" applyFont="1" applyFill="1" applyBorder="1" applyAlignment="1">
      <alignment horizontal="center" vertical="center" wrapText="1"/>
    </xf>
    <xf numFmtId="0" fontId="38" fillId="55" borderId="136" xfId="0" applyFont="1" applyFill="1" applyBorder="1" applyAlignment="1">
      <alignment horizontal="center" vertical="center" wrapText="1"/>
    </xf>
    <xf numFmtId="199" fontId="38" fillId="0" borderId="0" xfId="0" applyNumberFormat="1" applyFont="1" applyAlignment="1">
      <alignment horizontal="center" vertical="center"/>
    </xf>
    <xf numFmtId="199" fontId="38" fillId="0" borderId="116" xfId="0" applyNumberFormat="1" applyFont="1" applyBorder="1" applyAlignment="1">
      <alignment horizontal="center" vertical="center"/>
    </xf>
    <xf numFmtId="0" fontId="3" fillId="55" borderId="306" xfId="0" applyFont="1" applyFill="1" applyBorder="1" applyAlignment="1">
      <alignment vertical="center" shrinkToFit="1"/>
    </xf>
    <xf numFmtId="0" fontId="3" fillId="55" borderId="304" xfId="0" applyFont="1" applyFill="1" applyBorder="1" applyAlignment="1">
      <alignment vertical="center" shrinkToFit="1"/>
    </xf>
    <xf numFmtId="0" fontId="0" fillId="0" borderId="316" xfId="0" applyBorder="1" applyAlignment="1">
      <alignment horizontal="center" vertical="center"/>
    </xf>
    <xf numFmtId="177" fontId="68" fillId="0" borderId="136" xfId="0" applyNumberFormat="1" applyFont="1" applyBorder="1" applyAlignment="1">
      <alignment horizontal="center" vertical="top"/>
    </xf>
    <xf numFmtId="199" fontId="68" fillId="0" borderId="183" xfId="0" applyNumberFormat="1" applyFont="1" applyBorder="1" applyAlignment="1">
      <alignment horizontal="center" vertical="top"/>
    </xf>
    <xf numFmtId="178" fontId="68" fillId="0" borderId="147" xfId="0" applyNumberFormat="1" applyFont="1" applyBorder="1" applyAlignment="1">
      <alignment horizontal="right" vertical="top"/>
    </xf>
    <xf numFmtId="49" fontId="3" fillId="0" borderId="297" xfId="0" applyNumberFormat="1" applyFont="1" applyBorder="1" applyAlignment="1">
      <alignment horizontal="center" vertical="center" shrinkToFit="1"/>
    </xf>
    <xf numFmtId="0" fontId="3" fillId="0" borderId="297" xfId="0" applyFont="1" applyBorder="1" applyAlignment="1">
      <alignment horizontal="left" vertical="center" wrapText="1"/>
    </xf>
    <xf numFmtId="0" fontId="3" fillId="0" borderId="295" xfId="0" applyFont="1" applyBorder="1" applyAlignment="1">
      <alignment vertical="center" wrapText="1"/>
    </xf>
    <xf numFmtId="0" fontId="38" fillId="55" borderId="298" xfId="0" applyFont="1" applyFill="1" applyBorder="1" applyAlignment="1">
      <alignment horizontal="center" vertical="center" wrapText="1"/>
    </xf>
    <xf numFmtId="0" fontId="38" fillId="55" borderId="294" xfId="0" applyFont="1" applyFill="1" applyBorder="1" applyAlignment="1">
      <alignment horizontal="center" vertical="center" wrapText="1"/>
    </xf>
    <xf numFmtId="0" fontId="38" fillId="55" borderId="295" xfId="0" applyFont="1" applyFill="1" applyBorder="1" applyAlignment="1">
      <alignment horizontal="center" vertical="center" wrapText="1"/>
    </xf>
    <xf numFmtId="199" fontId="38" fillId="0" borderId="115" xfId="0" applyNumberFormat="1" applyFont="1" applyBorder="1" applyAlignment="1">
      <alignment horizontal="center" vertical="center"/>
    </xf>
    <xf numFmtId="0" fontId="3" fillId="55" borderId="298" xfId="0" applyFont="1" applyFill="1" applyBorder="1" applyAlignment="1">
      <alignment vertical="center" shrinkToFit="1"/>
    </xf>
    <xf numFmtId="0" fontId="3" fillId="55" borderId="294" xfId="0" applyFont="1" applyFill="1" applyBorder="1" applyAlignment="1">
      <alignment vertical="center" shrinkToFit="1"/>
    </xf>
    <xf numFmtId="0" fontId="0" fillId="0" borderId="296" xfId="0" applyBorder="1" applyAlignment="1">
      <alignment horizontal="center" vertical="center"/>
    </xf>
    <xf numFmtId="178" fontId="68" fillId="0" borderId="136" xfId="0" applyNumberFormat="1" applyFont="1" applyBorder="1" applyAlignment="1">
      <alignment horizontal="right" vertical="top"/>
    </xf>
    <xf numFmtId="49" fontId="3" fillId="0" borderId="299" xfId="0" applyNumberFormat="1" applyFont="1" applyBorder="1" applyAlignment="1">
      <alignment horizontal="center" vertical="center" shrinkToFit="1"/>
    </xf>
    <xf numFmtId="0" fontId="3" fillId="0" borderId="299" xfId="0" applyFont="1" applyBorder="1" applyAlignment="1">
      <alignment horizontal="left" vertical="center" wrapText="1"/>
    </xf>
    <xf numFmtId="0" fontId="38" fillId="55" borderId="290" xfId="0" applyFont="1" applyFill="1" applyBorder="1" applyAlignment="1">
      <alignment horizontal="center" vertical="center" wrapText="1"/>
    </xf>
    <xf numFmtId="0" fontId="38" fillId="55" borderId="291" xfId="0" applyFont="1" applyFill="1" applyBorder="1" applyAlignment="1">
      <alignment horizontal="center" vertical="center" wrapText="1"/>
    </xf>
    <xf numFmtId="0" fontId="38" fillId="55" borderId="158" xfId="0" applyFont="1" applyFill="1" applyBorder="1" applyAlignment="1">
      <alignment horizontal="center" vertical="center" wrapText="1"/>
    </xf>
    <xf numFmtId="199" fontId="38" fillId="0" borderId="185" xfId="0" applyNumberFormat="1" applyFont="1" applyBorder="1" applyAlignment="1">
      <alignment horizontal="center" vertical="center"/>
    </xf>
    <xf numFmtId="0" fontId="3" fillId="0" borderId="21" xfId="0" applyFont="1" applyBorder="1" applyAlignment="1">
      <alignment horizontal="left" vertical="center" wrapText="1"/>
    </xf>
    <xf numFmtId="49" fontId="3" fillId="0" borderId="286" xfId="0" applyNumberFormat="1" applyFont="1" applyBorder="1" applyAlignment="1">
      <alignment horizontal="center" vertical="center" shrinkToFit="1"/>
    </xf>
    <xf numFmtId="0" fontId="3" fillId="0" borderId="286" xfId="0" applyFont="1" applyBorder="1" applyAlignment="1">
      <alignment horizontal="left" vertical="center" wrapText="1"/>
    </xf>
    <xf numFmtId="0" fontId="3" fillId="0" borderId="287" xfId="0" applyFont="1" applyBorder="1" applyAlignment="1">
      <alignment vertical="center" wrapText="1"/>
    </xf>
    <xf numFmtId="0" fontId="38" fillId="55" borderId="300" xfId="0" applyFont="1" applyFill="1" applyBorder="1" applyAlignment="1">
      <alignment horizontal="center" vertical="center" wrapText="1"/>
    </xf>
    <xf numFmtId="0" fontId="38" fillId="55" borderId="301" xfId="0" applyFont="1" applyFill="1" applyBorder="1" applyAlignment="1">
      <alignment horizontal="center" vertical="center" wrapText="1"/>
    </xf>
    <xf numFmtId="0" fontId="38" fillId="55" borderId="287" xfId="0" applyFont="1" applyFill="1" applyBorder="1" applyAlignment="1">
      <alignment horizontal="center" vertical="center" wrapText="1"/>
    </xf>
    <xf numFmtId="199" fontId="38" fillId="0" borderId="13" xfId="0" applyNumberFormat="1" applyFont="1" applyBorder="1" applyAlignment="1">
      <alignment horizontal="center" vertical="center"/>
    </xf>
    <xf numFmtId="0" fontId="3" fillId="55" borderId="300" xfId="0" applyFont="1" applyFill="1" applyBorder="1" applyAlignment="1">
      <alignment vertical="center" shrinkToFit="1"/>
    </xf>
    <xf numFmtId="0" fontId="3" fillId="55" borderId="301" xfId="0" applyFont="1" applyFill="1" applyBorder="1" applyAlignment="1">
      <alignment vertical="center" shrinkToFit="1"/>
    </xf>
    <xf numFmtId="0" fontId="0" fillId="0" borderId="317" xfId="0" applyBorder="1" applyAlignment="1">
      <alignment horizontal="center" vertical="center"/>
    </xf>
    <xf numFmtId="0" fontId="157" fillId="54" borderId="116" xfId="0" applyFont="1" applyFill="1" applyBorder="1" applyAlignment="1">
      <alignment vertical="top" wrapText="1"/>
    </xf>
    <xf numFmtId="0" fontId="38" fillId="55" borderId="302" xfId="0" applyFont="1" applyFill="1" applyBorder="1" applyAlignment="1">
      <alignment horizontal="center" vertical="center" wrapText="1"/>
    </xf>
    <xf numFmtId="0" fontId="38" fillId="55" borderId="303" xfId="0" applyFont="1" applyFill="1" applyBorder="1" applyAlignment="1">
      <alignment horizontal="center" vertical="center" wrapText="1"/>
    </xf>
    <xf numFmtId="0" fontId="38" fillId="55" borderId="157" xfId="0" applyFont="1" applyFill="1" applyBorder="1" applyAlignment="1">
      <alignment horizontal="center" vertical="center" wrapText="1"/>
    </xf>
    <xf numFmtId="199" fontId="38" fillId="0" borderId="14" xfId="0" applyNumberFormat="1" applyFont="1" applyBorder="1" applyAlignment="1">
      <alignment horizontal="center" vertical="center"/>
    </xf>
    <xf numFmtId="0" fontId="157" fillId="54" borderId="11" xfId="0" applyFont="1" applyFill="1" applyBorder="1" applyAlignment="1">
      <alignment vertical="top" wrapText="1"/>
    </xf>
    <xf numFmtId="0" fontId="3" fillId="0" borderId="299" xfId="0" applyFont="1" applyBorder="1" applyAlignment="1">
      <alignment vertical="center" wrapText="1"/>
    </xf>
    <xf numFmtId="0" fontId="3" fillId="0" borderId="158" xfId="0" applyFont="1" applyBorder="1" applyAlignment="1">
      <alignment vertical="center" wrapText="1"/>
    </xf>
    <xf numFmtId="0" fontId="3" fillId="0" borderId="69" xfId="0" applyFont="1" applyBorder="1" applyAlignment="1">
      <alignment vertical="center" shrinkToFit="1"/>
    </xf>
    <xf numFmtId="0" fontId="3" fillId="0" borderId="21" xfId="0" applyFont="1" applyBorder="1" applyAlignment="1">
      <alignment vertical="center" shrinkToFit="1"/>
    </xf>
    <xf numFmtId="178" fontId="68" fillId="0" borderId="191" xfId="0" applyNumberFormat="1" applyFont="1" applyBorder="1" applyAlignment="1">
      <alignment horizontal="right" vertical="top"/>
    </xf>
    <xf numFmtId="199" fontId="68" fillId="0" borderId="184" xfId="0" applyNumberFormat="1" applyFont="1" applyBorder="1" applyAlignment="1">
      <alignment horizontal="center" vertical="top"/>
    </xf>
    <xf numFmtId="49" fontId="3" fillId="0" borderId="304" xfId="0" applyNumberFormat="1" applyFont="1" applyBorder="1" applyAlignment="1">
      <alignment horizontal="center" vertical="center" shrinkToFit="1"/>
    </xf>
    <xf numFmtId="0" fontId="3" fillId="0" borderId="150" xfId="0" applyFont="1" applyBorder="1" applyAlignment="1">
      <alignment vertical="center" wrapText="1"/>
    </xf>
    <xf numFmtId="0" fontId="38" fillId="55" borderId="306" xfId="0" applyFont="1" applyFill="1" applyBorder="1" applyAlignment="1">
      <alignment horizontal="center" vertical="center" wrapText="1"/>
    </xf>
    <xf numFmtId="0" fontId="38" fillId="55" borderId="304" xfId="0" applyFont="1" applyFill="1" applyBorder="1" applyAlignment="1">
      <alignment horizontal="center" vertical="center" wrapText="1"/>
    </xf>
    <xf numFmtId="0" fontId="160" fillId="0" borderId="16" xfId="0" applyFont="1" applyBorder="1" applyAlignment="1">
      <alignment horizontal="center" vertical="center"/>
    </xf>
    <xf numFmtId="199" fontId="165" fillId="0" borderId="13" xfId="0" applyNumberFormat="1" applyFont="1" applyBorder="1" applyAlignment="1">
      <alignment horizontal="center" vertical="center" wrapText="1"/>
    </xf>
    <xf numFmtId="0" fontId="160" fillId="0" borderId="0" xfId="0" applyFont="1">
      <alignment vertical="center"/>
    </xf>
    <xf numFmtId="0" fontId="157" fillId="0" borderId="69" xfId="0" applyFont="1" applyBorder="1" applyAlignment="1">
      <alignment vertical="center" shrinkToFit="1"/>
    </xf>
    <xf numFmtId="0" fontId="157" fillId="0" borderId="21" xfId="0" applyFont="1" applyBorder="1" applyAlignment="1">
      <alignment vertical="center" shrinkToFit="1"/>
    </xf>
    <xf numFmtId="177" fontId="166" fillId="0" borderId="136" xfId="0" applyNumberFormat="1" applyFont="1" applyBorder="1" applyAlignment="1">
      <alignment horizontal="center" vertical="top"/>
    </xf>
    <xf numFmtId="199" fontId="166" fillId="0" borderId="183" xfId="0" applyNumberFormat="1" applyFont="1" applyBorder="1" applyAlignment="1">
      <alignment horizontal="center" vertical="top"/>
    </xf>
    <xf numFmtId="178" fontId="166" fillId="0" borderId="191" xfId="0" applyNumberFormat="1" applyFont="1" applyBorder="1" applyAlignment="1">
      <alignment horizontal="right" vertical="top"/>
    </xf>
    <xf numFmtId="199" fontId="166" fillId="0" borderId="184" xfId="0" applyNumberFormat="1" applyFont="1" applyBorder="1" applyAlignment="1">
      <alignment horizontal="center" vertical="top"/>
    </xf>
    <xf numFmtId="49" fontId="3" fillId="0" borderId="309" xfId="0" applyNumberFormat="1" applyFont="1" applyBorder="1" applyAlignment="1">
      <alignment horizontal="center" vertical="center" shrinkToFit="1"/>
    </xf>
    <xf numFmtId="49" fontId="3" fillId="0" borderId="200" xfId="0" applyNumberFormat="1" applyFont="1" applyBorder="1" applyAlignment="1">
      <alignment horizontal="left" vertical="center" wrapText="1" shrinkToFit="1"/>
    </xf>
    <xf numFmtId="49" fontId="3" fillId="0" borderId="200" xfId="0" applyNumberFormat="1" applyFont="1" applyBorder="1" applyAlignment="1">
      <alignment horizontal="center" vertical="center" shrinkToFit="1"/>
    </xf>
    <xf numFmtId="0" fontId="3" fillId="0" borderId="200" xfId="0" applyFont="1" applyBorder="1" applyAlignment="1">
      <alignment horizontal="left" vertical="center" wrapText="1"/>
    </xf>
    <xf numFmtId="0" fontId="3" fillId="0" borderId="199" xfId="0" applyFont="1" applyBorder="1" applyAlignment="1">
      <alignment vertical="center" wrapText="1"/>
    </xf>
    <xf numFmtId="0" fontId="38" fillId="55" borderId="309" xfId="0" applyFont="1" applyFill="1" applyBorder="1" applyAlignment="1">
      <alignment horizontal="center" vertical="center" wrapText="1"/>
    </xf>
    <xf numFmtId="0" fontId="38" fillId="55" borderId="310" xfId="0" applyFont="1" applyFill="1" applyBorder="1" applyAlignment="1">
      <alignment horizontal="center" vertical="center" wrapText="1"/>
    </xf>
    <xf numFmtId="199" fontId="38" fillId="0" borderId="104" xfId="0" applyNumberFormat="1" applyFont="1" applyBorder="1" applyAlignment="1">
      <alignment horizontal="center" vertical="center"/>
    </xf>
    <xf numFmtId="0" fontId="3" fillId="55" borderId="309" xfId="0" applyFont="1" applyFill="1" applyBorder="1" applyAlignment="1">
      <alignment vertical="center" shrinkToFit="1"/>
    </xf>
    <xf numFmtId="0" fontId="3" fillId="55" borderId="310" xfId="0" applyFont="1" applyFill="1" applyBorder="1" applyAlignment="1">
      <alignment vertical="center" shrinkToFit="1"/>
    </xf>
    <xf numFmtId="0" fontId="0" fillId="0" borderId="318" xfId="0" applyBorder="1" applyAlignment="1">
      <alignment horizontal="center" vertical="center"/>
    </xf>
    <xf numFmtId="49" fontId="68" fillId="0" borderId="39" xfId="0" applyNumberFormat="1" applyFont="1" applyBorder="1" applyAlignment="1">
      <alignment horizontal="center" vertical="center" shrinkToFit="1"/>
    </xf>
    <xf numFmtId="199" fontId="68" fillId="0" borderId="311" xfId="0" applyNumberFormat="1" applyFont="1" applyBorder="1" applyAlignment="1">
      <alignment horizontal="center" vertical="center"/>
    </xf>
    <xf numFmtId="49" fontId="10" fillId="0" borderId="21" xfId="0" applyNumberFormat="1" applyFont="1" applyBorder="1" applyAlignment="1">
      <alignment horizontal="left" vertical="center"/>
    </xf>
    <xf numFmtId="49" fontId="3" fillId="0" borderId="21" xfId="0" applyNumberFormat="1" applyFont="1" applyBorder="1" applyAlignment="1">
      <alignment horizontal="left" vertical="center" wrapText="1"/>
    </xf>
    <xf numFmtId="49" fontId="3" fillId="0" borderId="21" xfId="0" applyNumberFormat="1" applyFont="1" applyBorder="1" applyAlignment="1">
      <alignment horizontal="left" vertical="center"/>
    </xf>
    <xf numFmtId="0" fontId="3" fillId="0" borderId="39" xfId="0" applyFont="1" applyBorder="1" applyAlignment="1">
      <alignment horizontal="left" vertical="center" wrapText="1"/>
    </xf>
    <xf numFmtId="0" fontId="38" fillId="0" borderId="39" xfId="0" applyFont="1" applyBorder="1" applyAlignment="1">
      <alignment horizontal="left" vertical="center" wrapText="1"/>
    </xf>
    <xf numFmtId="0" fontId="3" fillId="0" borderId="136" xfId="0" applyFont="1" applyBorder="1" applyAlignment="1">
      <alignment vertical="center" shrinkToFit="1"/>
    </xf>
    <xf numFmtId="0" fontId="0" fillId="0" borderId="190" xfId="0" applyBorder="1" applyAlignment="1">
      <alignment horizontal="center" vertical="center"/>
    </xf>
    <xf numFmtId="178" fontId="0" fillId="0" borderId="136" xfId="0" applyNumberFormat="1" applyBorder="1" applyAlignment="1">
      <alignment horizontal="right" vertical="center"/>
    </xf>
    <xf numFmtId="199" fontId="0" fillId="0" borderId="183" xfId="0" applyNumberFormat="1" applyBorder="1" applyAlignment="1">
      <alignment horizontal="center" vertical="center"/>
    </xf>
    <xf numFmtId="0" fontId="165" fillId="55" borderId="298" xfId="0" applyFont="1" applyFill="1" applyBorder="1" applyAlignment="1">
      <alignment horizontal="center" vertical="center" wrapText="1"/>
    </xf>
    <xf numFmtId="0" fontId="165" fillId="55" borderId="294" xfId="0" applyFont="1" applyFill="1" applyBorder="1" applyAlignment="1">
      <alignment horizontal="center" vertical="center" wrapText="1"/>
    </xf>
    <xf numFmtId="0" fontId="165" fillId="55" borderId="295" xfId="0" applyFont="1" applyFill="1" applyBorder="1" applyAlignment="1">
      <alignment horizontal="center" vertical="center" wrapText="1"/>
    </xf>
    <xf numFmtId="0" fontId="165" fillId="55" borderId="290" xfId="0" applyFont="1" applyFill="1" applyBorder="1" applyAlignment="1">
      <alignment horizontal="center" vertical="center" wrapText="1"/>
    </xf>
    <xf numFmtId="0" fontId="165" fillId="55" borderId="291" xfId="0" applyFont="1" applyFill="1" applyBorder="1" applyAlignment="1">
      <alignment horizontal="center" vertical="center" wrapText="1"/>
    </xf>
    <xf numFmtId="0" fontId="165" fillId="55" borderId="158" xfId="0" applyFont="1" applyFill="1" applyBorder="1" applyAlignment="1">
      <alignment horizontal="center" vertical="center" wrapText="1"/>
    </xf>
    <xf numFmtId="0" fontId="3" fillId="55" borderId="290" xfId="0" applyFont="1" applyFill="1" applyBorder="1" applyAlignment="1">
      <alignment vertical="center" shrinkToFit="1"/>
    </xf>
    <xf numFmtId="0" fontId="3" fillId="55" borderId="291" xfId="0" applyFont="1" applyFill="1" applyBorder="1" applyAlignment="1">
      <alignment vertical="center" shrinkToFit="1"/>
    </xf>
    <xf numFmtId="0" fontId="0" fillId="0" borderId="308" xfId="0" applyBorder="1" applyAlignment="1">
      <alignment horizontal="center" vertical="center"/>
    </xf>
    <xf numFmtId="49" fontId="3" fillId="0" borderId="150" xfId="0" applyNumberFormat="1" applyFont="1" applyBorder="1" applyAlignment="1">
      <alignment horizontal="center" vertical="center" shrinkToFit="1"/>
    </xf>
    <xf numFmtId="0" fontId="3" fillId="0" borderId="304" xfId="0" applyFont="1" applyBorder="1" applyAlignment="1">
      <alignment horizontal="left" vertical="center" wrapText="1"/>
    </xf>
    <xf numFmtId="0" fontId="38" fillId="55" borderId="150" xfId="0" applyFont="1" applyFill="1" applyBorder="1" applyAlignment="1">
      <alignment horizontal="center" vertical="center" wrapText="1"/>
    </xf>
    <xf numFmtId="199" fontId="38" fillId="0" borderId="128" xfId="0" applyNumberFormat="1" applyFont="1" applyBorder="1" applyAlignment="1">
      <alignment horizontal="center" vertical="center"/>
    </xf>
    <xf numFmtId="49" fontId="3" fillId="0" borderId="191" xfId="0" applyNumberFormat="1" applyFont="1" applyBorder="1" applyAlignment="1">
      <alignment horizontal="center" vertical="center" shrinkToFit="1"/>
    </xf>
    <xf numFmtId="0" fontId="3" fillId="0" borderId="288" xfId="0" applyFont="1" applyBorder="1" applyAlignment="1">
      <alignment horizontal="left" vertical="center" wrapText="1"/>
    </xf>
    <xf numFmtId="0" fontId="10" fillId="0" borderId="39" xfId="0" applyFont="1" applyBorder="1" applyAlignment="1">
      <alignment horizontal="left" vertical="center"/>
    </xf>
    <xf numFmtId="0" fontId="165" fillId="0" borderId="39" xfId="0" applyFont="1" applyBorder="1" applyAlignment="1">
      <alignment horizontal="left" vertical="center" wrapText="1"/>
    </xf>
    <xf numFmtId="0" fontId="157" fillId="54" borderId="104" xfId="0" applyFont="1" applyFill="1" applyBorder="1" applyAlignment="1">
      <alignment vertical="top" wrapText="1"/>
    </xf>
    <xf numFmtId="49" fontId="3" fillId="0" borderId="39" xfId="0" applyNumberFormat="1" applyFont="1" applyBorder="1" applyAlignment="1">
      <alignment horizontal="left" vertical="center" wrapText="1" shrinkToFit="1"/>
    </xf>
    <xf numFmtId="49" fontId="3" fillId="0" borderId="310" xfId="0" applyNumberFormat="1" applyFont="1" applyBorder="1" applyAlignment="1">
      <alignment horizontal="center" vertical="center" shrinkToFit="1"/>
    </xf>
    <xf numFmtId="0" fontId="38" fillId="55" borderId="199" xfId="0" applyFont="1" applyFill="1" applyBorder="1" applyAlignment="1">
      <alignment horizontal="center" vertical="center" wrapText="1"/>
    </xf>
    <xf numFmtId="199" fontId="38" fillId="0" borderId="10" xfId="0" applyNumberFormat="1" applyFont="1" applyBorder="1" applyAlignment="1">
      <alignment horizontal="center" vertical="center"/>
    </xf>
    <xf numFmtId="0" fontId="157" fillId="54" borderId="69" xfId="0" applyFont="1" applyFill="1" applyBorder="1" applyAlignment="1">
      <alignment vertical="top" wrapText="1"/>
    </xf>
    <xf numFmtId="177" fontId="68" fillId="0" borderId="191" xfId="0" applyNumberFormat="1" applyFont="1" applyBorder="1" applyAlignment="1">
      <alignment horizontal="center" vertical="top"/>
    </xf>
    <xf numFmtId="49" fontId="68" fillId="0" borderId="39" xfId="0" applyNumberFormat="1" applyFont="1" applyBorder="1" applyAlignment="1">
      <alignment horizontal="center" vertical="top" shrinkToFit="1"/>
    </xf>
    <xf numFmtId="199" fontId="68" fillId="0" borderId="311" xfId="0" applyNumberFormat="1" applyFont="1" applyBorder="1" applyAlignment="1">
      <alignment horizontal="center" vertical="top"/>
    </xf>
    <xf numFmtId="49" fontId="3" fillId="0" borderId="305" xfId="0" applyNumberFormat="1" applyFont="1" applyBorder="1" applyAlignment="1">
      <alignment horizontal="center" vertical="center" shrinkToFit="1"/>
    </xf>
    <xf numFmtId="0" fontId="3" fillId="0" borderId="305" xfId="0" applyFont="1" applyBorder="1" applyAlignment="1">
      <alignment horizontal="left" vertical="center" wrapText="1"/>
    </xf>
    <xf numFmtId="0" fontId="3" fillId="0" borderId="307" xfId="0" applyFont="1" applyBorder="1" applyAlignment="1">
      <alignment vertical="center" wrapText="1"/>
    </xf>
    <xf numFmtId="49" fontId="3" fillId="0" borderId="292" xfId="0" applyNumberFormat="1" applyFont="1" applyBorder="1" applyAlignment="1">
      <alignment horizontal="center" vertical="center" shrinkToFit="1"/>
    </xf>
    <xf numFmtId="0" fontId="3" fillId="0" borderId="190" xfId="0" applyFont="1" applyBorder="1" applyAlignment="1">
      <alignment horizontal="left" vertical="center" wrapText="1"/>
    </xf>
    <xf numFmtId="0" fontId="13" fillId="56" borderId="116" xfId="0" applyFont="1" applyFill="1" applyBorder="1" applyAlignment="1">
      <alignment horizontal="left" vertical="center" wrapText="1"/>
    </xf>
    <xf numFmtId="199" fontId="38" fillId="0" borderId="128" xfId="0" applyNumberFormat="1" applyFont="1" applyBorder="1" applyAlignment="1">
      <alignment horizontal="center" vertical="center" wrapText="1"/>
    </xf>
    <xf numFmtId="0" fontId="3" fillId="0" borderId="11" xfId="0" applyFont="1" applyBorder="1" applyAlignment="1">
      <alignment vertical="center" shrinkToFit="1"/>
    </xf>
    <xf numFmtId="0" fontId="0" fillId="0" borderId="312" xfId="0" applyBorder="1" applyAlignment="1">
      <alignment horizontal="center" vertical="center"/>
    </xf>
    <xf numFmtId="0" fontId="13" fillId="56" borderId="11" xfId="0" applyFont="1" applyFill="1" applyBorder="1" applyAlignment="1">
      <alignment horizontal="left" vertical="center" wrapText="1"/>
    </xf>
    <xf numFmtId="0" fontId="13" fillId="56" borderId="104" xfId="0" applyFont="1" applyFill="1" applyBorder="1" applyAlignment="1">
      <alignment horizontal="left" vertical="center" wrapText="1"/>
    </xf>
    <xf numFmtId="0" fontId="3" fillId="0" borderId="286" xfId="0" applyFont="1" applyBorder="1" applyAlignment="1">
      <alignment vertical="center" wrapText="1"/>
    </xf>
    <xf numFmtId="0" fontId="0" fillId="0" borderId="16" xfId="0" applyBorder="1">
      <alignment vertical="center"/>
    </xf>
    <xf numFmtId="0" fontId="165" fillId="55" borderId="306" xfId="0" applyFont="1" applyFill="1" applyBorder="1" applyAlignment="1">
      <alignment horizontal="center" vertical="center" wrapText="1"/>
    </xf>
    <xf numFmtId="0" fontId="165" fillId="55" borderId="304" xfId="0" applyFont="1" applyFill="1" applyBorder="1" applyAlignment="1">
      <alignment horizontal="center" vertical="center" wrapText="1"/>
    </xf>
    <xf numFmtId="0" fontId="3" fillId="0" borderId="67" xfId="0" applyFont="1" applyBorder="1" applyAlignment="1">
      <alignment vertical="center" wrapText="1"/>
    </xf>
    <xf numFmtId="0" fontId="3" fillId="55" borderId="302" xfId="0" applyFont="1" applyFill="1" applyBorder="1" applyAlignment="1">
      <alignment vertical="center" shrinkToFit="1"/>
    </xf>
    <xf numFmtId="0" fontId="3" fillId="55" borderId="303" xfId="0" applyFont="1" applyFill="1" applyBorder="1" applyAlignment="1">
      <alignment vertical="center" shrinkToFit="1"/>
    </xf>
    <xf numFmtId="0" fontId="13" fillId="57" borderId="11" xfId="0" applyFont="1" applyFill="1" applyBorder="1" applyAlignment="1">
      <alignment horizontal="left" vertical="center" wrapText="1"/>
    </xf>
    <xf numFmtId="0" fontId="13" fillId="57" borderId="69" xfId="0" applyFont="1" applyFill="1" applyBorder="1" applyAlignment="1">
      <alignment horizontal="left" vertical="center" wrapText="1"/>
    </xf>
    <xf numFmtId="0" fontId="10" fillId="0" borderId="67" xfId="0" applyFont="1" applyBorder="1" applyAlignment="1">
      <alignment horizontal="left" vertical="center"/>
    </xf>
    <xf numFmtId="0" fontId="3" fillId="0" borderId="67" xfId="0" applyFont="1" applyBorder="1" applyAlignment="1">
      <alignment horizontal="left" vertical="center" wrapText="1"/>
    </xf>
    <xf numFmtId="0" fontId="3" fillId="0" borderId="67" xfId="0" applyFont="1" applyBorder="1" applyAlignment="1">
      <alignment horizontal="left" vertical="center"/>
    </xf>
    <xf numFmtId="0" fontId="3" fillId="0" borderId="67" xfId="0" applyFont="1" applyBorder="1">
      <alignment vertical="center"/>
    </xf>
    <xf numFmtId="0" fontId="38" fillId="0" borderId="67" xfId="0" applyFont="1" applyBorder="1">
      <alignment vertical="center"/>
    </xf>
    <xf numFmtId="199" fontId="3" fillId="0" borderId="67" xfId="0" applyNumberFormat="1" applyFont="1" applyBorder="1" applyAlignment="1">
      <alignment horizontal="center" vertical="center"/>
    </xf>
    <xf numFmtId="199" fontId="38" fillId="0" borderId="67" xfId="0" applyNumberFormat="1" applyFont="1" applyBorder="1" applyAlignment="1">
      <alignment horizontal="center" vertical="center"/>
    </xf>
    <xf numFmtId="199" fontId="38" fillId="0" borderId="94" xfId="0" applyNumberFormat="1" applyFont="1" applyBorder="1" applyAlignment="1">
      <alignment horizontal="center" vertical="center"/>
    </xf>
    <xf numFmtId="178" fontId="0" fillId="0" borderId="147" xfId="0" applyNumberFormat="1" applyBorder="1" applyAlignment="1">
      <alignment horizontal="right" vertical="center"/>
    </xf>
    <xf numFmtId="199" fontId="0" fillId="0" borderId="289" xfId="0" applyNumberFormat="1" applyBorder="1" applyAlignment="1">
      <alignment horizontal="center" vertical="center"/>
    </xf>
    <xf numFmtId="49" fontId="3" fillId="0" borderId="189" xfId="0" applyNumberFormat="1" applyFont="1" applyBorder="1" applyAlignment="1">
      <alignment horizontal="center" vertical="center" shrinkToFit="1"/>
    </xf>
    <xf numFmtId="0" fontId="3" fillId="0" borderId="189" xfId="0" applyFont="1" applyBorder="1" applyAlignment="1">
      <alignment horizontal="left" vertical="center" wrapText="1"/>
    </xf>
    <xf numFmtId="0" fontId="3" fillId="0" borderId="147" xfId="0" applyFont="1" applyBorder="1" applyAlignment="1">
      <alignment vertical="center" wrapText="1"/>
    </xf>
    <xf numFmtId="0" fontId="38" fillId="55" borderId="313" xfId="0" applyFont="1" applyFill="1" applyBorder="1" applyAlignment="1">
      <alignment horizontal="center" vertical="center" wrapText="1"/>
    </xf>
    <xf numFmtId="0" fontId="38" fillId="55" borderId="285" xfId="0" applyFont="1" applyFill="1" applyBorder="1" applyAlignment="1">
      <alignment horizontal="center" vertical="center" wrapText="1"/>
    </xf>
    <xf numFmtId="199" fontId="38" fillId="0" borderId="40" xfId="0" applyNumberFormat="1" applyFont="1" applyBorder="1" applyAlignment="1">
      <alignment horizontal="center" vertical="center"/>
    </xf>
    <xf numFmtId="0" fontId="3" fillId="55" borderId="313" xfId="0" applyFont="1" applyFill="1" applyBorder="1" applyAlignment="1">
      <alignment vertical="center" shrinkToFit="1"/>
    </xf>
    <xf numFmtId="0" fontId="3" fillId="55" borderId="285" xfId="0" applyFont="1" applyFill="1" applyBorder="1" applyAlignment="1">
      <alignment vertical="center" shrinkToFit="1"/>
    </xf>
    <xf numFmtId="0" fontId="0" fillId="0" borderId="320" xfId="0" applyBorder="1" applyAlignment="1">
      <alignment horizontal="center" vertical="center"/>
    </xf>
    <xf numFmtId="0" fontId="13" fillId="58" borderId="116" xfId="0" applyFont="1" applyFill="1" applyBorder="1" applyAlignment="1">
      <alignment horizontal="left" vertical="center" wrapText="1"/>
    </xf>
    <xf numFmtId="49" fontId="3" fillId="0" borderId="190" xfId="0" applyNumberFormat="1" applyFont="1" applyBorder="1" applyAlignment="1">
      <alignment horizontal="left" vertical="center" wrapText="1" shrinkToFit="1"/>
    </xf>
    <xf numFmtId="0" fontId="3" fillId="0" borderId="190" xfId="0" applyFont="1" applyBorder="1" applyAlignment="1">
      <alignment vertical="center" wrapText="1"/>
    </xf>
    <xf numFmtId="0" fontId="3" fillId="0" borderId="136" xfId="0" applyFont="1" applyBorder="1" applyAlignment="1">
      <alignment vertical="center" wrapText="1"/>
    </xf>
    <xf numFmtId="0" fontId="3" fillId="0" borderId="48" xfId="0" applyFont="1" applyBorder="1" applyAlignment="1">
      <alignment vertical="center" shrinkToFit="1"/>
    </xf>
    <xf numFmtId="0" fontId="3" fillId="0" borderId="39" xfId="0" applyFont="1" applyBorder="1" applyAlignment="1">
      <alignment vertical="center" shrinkToFit="1"/>
    </xf>
    <xf numFmtId="0" fontId="13" fillId="58" borderId="11" xfId="0" applyFont="1" applyFill="1" applyBorder="1" applyAlignment="1">
      <alignment horizontal="left" vertical="center" wrapText="1"/>
    </xf>
    <xf numFmtId="49" fontId="10" fillId="0" borderId="39" xfId="0" applyNumberFormat="1" applyFont="1" applyBorder="1" applyAlignment="1">
      <alignment horizontal="left" vertical="center"/>
    </xf>
    <xf numFmtId="49" fontId="3" fillId="0" borderId="39" xfId="0" applyNumberFormat="1" applyFont="1" applyBorder="1" applyAlignment="1">
      <alignment horizontal="left" vertical="center" wrapText="1"/>
    </xf>
    <xf numFmtId="49" fontId="3" fillId="0" borderId="39" xfId="0" applyNumberFormat="1" applyFont="1" applyBorder="1" applyAlignment="1">
      <alignment horizontal="center" vertical="center"/>
    </xf>
    <xf numFmtId="0" fontId="13" fillId="58" borderId="104" xfId="0" applyFont="1" applyFill="1" applyBorder="1" applyAlignment="1">
      <alignment horizontal="left" vertical="center" wrapText="1"/>
    </xf>
    <xf numFmtId="49" fontId="3" fillId="0" borderId="286" xfId="0" applyNumberFormat="1" applyFont="1" applyBorder="1" applyAlignment="1">
      <alignment horizontal="left" vertical="center" wrapText="1" shrinkToFit="1"/>
    </xf>
    <xf numFmtId="0" fontId="13" fillId="58" borderId="69" xfId="0" applyFont="1" applyFill="1" applyBorder="1" applyAlignment="1">
      <alignment horizontal="left" vertical="center" wrapText="1"/>
    </xf>
    <xf numFmtId="0" fontId="3" fillId="0" borderId="189" xfId="0" applyFont="1" applyBorder="1" applyAlignment="1">
      <alignment vertical="center" wrapText="1"/>
    </xf>
    <xf numFmtId="0" fontId="3" fillId="0" borderId="42" xfId="0" applyFont="1" applyBorder="1" applyAlignment="1">
      <alignment vertical="center" shrinkToFit="1"/>
    </xf>
    <xf numFmtId="0" fontId="3" fillId="0" borderId="18" xfId="0" applyFont="1" applyBorder="1" applyAlignment="1">
      <alignment vertical="center" shrinkToFit="1"/>
    </xf>
    <xf numFmtId="0" fontId="3" fillId="0" borderId="46" xfId="0" applyFont="1" applyBorder="1" applyAlignment="1">
      <alignment vertical="center" shrinkToFit="1"/>
    </xf>
    <xf numFmtId="0" fontId="3" fillId="0" borderId="110" xfId="0" applyFont="1" applyBorder="1" applyAlignment="1">
      <alignment vertical="center" shrinkToFit="1"/>
    </xf>
    <xf numFmtId="0" fontId="38" fillId="55" borderId="297" xfId="0" applyFont="1" applyFill="1" applyBorder="1" applyAlignment="1">
      <alignment horizontal="center" vertical="center" wrapText="1"/>
    </xf>
    <xf numFmtId="49" fontId="3" fillId="0" borderId="294" xfId="0" applyNumberFormat="1" applyFont="1" applyBorder="1" applyAlignment="1">
      <alignment horizontal="center" vertical="center" shrinkToFit="1"/>
    </xf>
    <xf numFmtId="0" fontId="38" fillId="55" borderId="292" xfId="0" applyFont="1" applyFill="1" applyBorder="1" applyAlignment="1">
      <alignment horizontal="center" vertical="center" wrapText="1"/>
    </xf>
    <xf numFmtId="0" fontId="13" fillId="60" borderId="116" xfId="0" applyFont="1" applyFill="1" applyBorder="1" applyAlignment="1">
      <alignment horizontal="left" vertical="center" wrapText="1"/>
    </xf>
    <xf numFmtId="0" fontId="13" fillId="60" borderId="11" xfId="0" applyFont="1" applyFill="1" applyBorder="1" applyAlignment="1">
      <alignment horizontal="left" vertical="center" wrapText="1"/>
    </xf>
    <xf numFmtId="0" fontId="38" fillId="55" borderId="190" xfId="0" applyFont="1" applyFill="1" applyBorder="1" applyAlignment="1">
      <alignment horizontal="center" vertical="center" wrapText="1"/>
    </xf>
    <xf numFmtId="0" fontId="38" fillId="55" borderId="299" xfId="0" applyFont="1" applyFill="1" applyBorder="1" applyAlignment="1">
      <alignment horizontal="center" vertical="center" wrapText="1"/>
    </xf>
    <xf numFmtId="0" fontId="13" fillId="60" borderId="104" xfId="0" applyFont="1" applyFill="1" applyBorder="1" applyAlignment="1">
      <alignment horizontal="left" vertical="center" wrapText="1"/>
    </xf>
    <xf numFmtId="0" fontId="13" fillId="60" borderId="69" xfId="0" applyFont="1" applyFill="1" applyBorder="1" applyAlignment="1">
      <alignment horizontal="left" vertical="center" wrapText="1"/>
    </xf>
    <xf numFmtId="0" fontId="13" fillId="61" borderId="40" xfId="0" applyFont="1" applyFill="1" applyBorder="1" applyAlignment="1">
      <alignment horizontal="left" vertical="top" wrapText="1"/>
    </xf>
    <xf numFmtId="0" fontId="13" fillId="61" borderId="66" xfId="0" applyFont="1" applyFill="1" applyBorder="1" applyAlignment="1">
      <alignment horizontal="left" vertical="top" wrapText="1"/>
    </xf>
    <xf numFmtId="0" fontId="13" fillId="61" borderId="116" xfId="0" applyFont="1" applyFill="1" applyBorder="1" applyAlignment="1">
      <alignment horizontal="left" vertical="top" wrapText="1"/>
    </xf>
    <xf numFmtId="0" fontId="3" fillId="0" borderId="44" xfId="0" applyFont="1" applyBorder="1" applyAlignment="1">
      <alignment vertical="center" shrinkToFit="1"/>
    </xf>
    <xf numFmtId="0" fontId="3" fillId="0" borderId="108" xfId="0" applyFont="1" applyBorder="1" applyAlignment="1">
      <alignment vertical="center" shrinkToFit="1"/>
    </xf>
    <xf numFmtId="0" fontId="13" fillId="61" borderId="11" xfId="0" applyFont="1" applyFill="1" applyBorder="1" applyAlignment="1">
      <alignment horizontal="left" vertical="top" wrapText="1"/>
    </xf>
    <xf numFmtId="0" fontId="13" fillId="61" borderId="116" xfId="0" applyFont="1" applyFill="1" applyBorder="1" applyAlignment="1">
      <alignment horizontal="left" vertical="center" wrapText="1"/>
    </xf>
    <xf numFmtId="0" fontId="13" fillId="61" borderId="11" xfId="0" applyFont="1" applyFill="1" applyBorder="1" applyAlignment="1">
      <alignment horizontal="left" vertical="center" wrapText="1"/>
    </xf>
    <xf numFmtId="49" fontId="3" fillId="0" borderId="301" xfId="0" applyNumberFormat="1" applyFont="1" applyBorder="1" applyAlignment="1">
      <alignment horizontal="center" vertical="center" shrinkToFit="1"/>
    </xf>
    <xf numFmtId="49" fontId="68" fillId="0" borderId="69" xfId="0" applyNumberFormat="1" applyFont="1" applyBorder="1" applyAlignment="1">
      <alignment horizontal="center" vertical="top" shrinkToFit="1"/>
    </xf>
    <xf numFmtId="0" fontId="13" fillId="61" borderId="104" xfId="0" applyFont="1" applyFill="1" applyBorder="1" applyAlignment="1">
      <alignment horizontal="left" vertical="center" wrapText="1"/>
    </xf>
    <xf numFmtId="0" fontId="13" fillId="61" borderId="69" xfId="0" applyFont="1" applyFill="1" applyBorder="1" applyAlignment="1">
      <alignment horizontal="left" vertical="center" wrapText="1"/>
    </xf>
    <xf numFmtId="0" fontId="13" fillId="62" borderId="10" xfId="0" applyFont="1" applyFill="1" applyBorder="1" applyAlignment="1">
      <alignment horizontal="left" vertical="top" wrapText="1"/>
    </xf>
    <xf numFmtId="49" fontId="3" fillId="43" borderId="48" xfId="0" applyNumberFormat="1" applyFont="1" applyFill="1" applyBorder="1" applyAlignment="1">
      <alignment horizontal="left" vertical="center"/>
    </xf>
    <xf numFmtId="49" fontId="3" fillId="43" borderId="39" xfId="0" applyNumberFormat="1" applyFont="1" applyFill="1" applyBorder="1" applyAlignment="1">
      <alignment horizontal="left" vertical="center" wrapText="1"/>
    </xf>
    <xf numFmtId="49" fontId="3" fillId="43" borderId="39" xfId="0" applyNumberFormat="1" applyFont="1" applyFill="1" applyBorder="1" applyAlignment="1">
      <alignment horizontal="center" vertical="center"/>
    </xf>
    <xf numFmtId="0" fontId="3" fillId="43" borderId="39" xfId="0" applyFont="1" applyFill="1" applyBorder="1" applyAlignment="1">
      <alignment horizontal="center" vertical="center"/>
    </xf>
    <xf numFmtId="0" fontId="38" fillId="43" borderId="39" xfId="0" applyFont="1" applyFill="1" applyBorder="1" applyAlignment="1">
      <alignment horizontal="center" vertical="center" wrapText="1"/>
    </xf>
    <xf numFmtId="199" fontId="38" fillId="43" borderId="39" xfId="0" applyNumberFormat="1" applyFont="1" applyFill="1" applyBorder="1" applyAlignment="1">
      <alignment horizontal="center" vertical="center" wrapText="1"/>
    </xf>
    <xf numFmtId="0" fontId="38" fillId="43" borderId="17" xfId="0" applyFont="1" applyFill="1" applyBorder="1" applyAlignment="1">
      <alignment horizontal="center" vertical="center"/>
    </xf>
    <xf numFmtId="0" fontId="3" fillId="43" borderId="136" xfId="0" applyFont="1" applyFill="1" applyBorder="1" applyAlignment="1">
      <alignment vertical="center" shrinkToFit="1"/>
    </xf>
    <xf numFmtId="0" fontId="3" fillId="43" borderId="0" xfId="0" applyFont="1" applyFill="1" applyAlignment="1">
      <alignment vertical="center" shrinkToFit="1"/>
    </xf>
    <xf numFmtId="0" fontId="0" fillId="43" borderId="190" xfId="0" applyFill="1" applyBorder="1" applyAlignment="1">
      <alignment horizontal="center" vertical="center"/>
    </xf>
    <xf numFmtId="0" fontId="13" fillId="62" borderId="48" xfId="0" applyFont="1" applyFill="1" applyBorder="1" applyAlignment="1">
      <alignment horizontal="left" vertical="top" wrapText="1"/>
    </xf>
    <xf numFmtId="177" fontId="68" fillId="43" borderId="199" xfId="0" applyNumberFormat="1" applyFont="1" applyFill="1" applyBorder="1" applyAlignment="1">
      <alignment horizontal="center" vertical="top"/>
    </xf>
    <xf numFmtId="199" fontId="68" fillId="43" borderId="311" xfId="0" applyNumberFormat="1" applyFont="1" applyFill="1" applyBorder="1" applyAlignment="1">
      <alignment horizontal="center" vertical="top"/>
    </xf>
    <xf numFmtId="49" fontId="68" fillId="43" borderId="39" xfId="0" applyNumberFormat="1" applyFont="1" applyFill="1" applyBorder="1" applyAlignment="1">
      <alignment horizontal="left" vertical="top"/>
    </xf>
    <xf numFmtId="178" fontId="68" fillId="43" borderId="199" xfId="0" applyNumberFormat="1" applyFont="1" applyFill="1" applyBorder="1" applyAlignment="1">
      <alignment horizontal="right" vertical="top"/>
    </xf>
    <xf numFmtId="0" fontId="38" fillId="55" borderId="305" xfId="0" applyFont="1" applyFill="1" applyBorder="1" applyAlignment="1">
      <alignment horizontal="center" vertical="center" wrapText="1"/>
    </xf>
    <xf numFmtId="0" fontId="13" fillId="63" borderId="116" xfId="0" applyFont="1" applyFill="1" applyBorder="1" applyAlignment="1">
      <alignment horizontal="left" vertical="top" wrapText="1"/>
    </xf>
    <xf numFmtId="0" fontId="13" fillId="63" borderId="11" xfId="0" applyFont="1" applyFill="1" applyBorder="1" applyAlignment="1">
      <alignment horizontal="left" vertical="top" wrapText="1"/>
    </xf>
    <xf numFmtId="0" fontId="38" fillId="55" borderId="189" xfId="0" applyFont="1" applyFill="1" applyBorder="1" applyAlignment="1">
      <alignment horizontal="center" vertical="center" wrapText="1"/>
    </xf>
    <xf numFmtId="0" fontId="38" fillId="55" borderId="286" xfId="0" applyFont="1" applyFill="1" applyBorder="1" applyAlignment="1">
      <alignment horizontal="center" vertical="center" wrapText="1"/>
    </xf>
    <xf numFmtId="0" fontId="165" fillId="55" borderId="309" xfId="0" applyFont="1" applyFill="1" applyBorder="1" applyAlignment="1">
      <alignment horizontal="center" vertical="center" wrapText="1"/>
    </xf>
    <xf numFmtId="0" fontId="165" fillId="55" borderId="200" xfId="0" applyFont="1" applyFill="1" applyBorder="1" applyAlignment="1">
      <alignment horizontal="center" vertical="center" wrapText="1"/>
    </xf>
    <xf numFmtId="49" fontId="68" fillId="0" borderId="67" xfId="0" applyNumberFormat="1" applyFont="1" applyBorder="1" applyAlignment="1">
      <alignment horizontal="center" vertical="top" shrinkToFit="1"/>
    </xf>
    <xf numFmtId="178" fontId="0" fillId="0" borderId="199" xfId="0" applyNumberFormat="1" applyBorder="1" applyAlignment="1">
      <alignment horizontal="right" vertical="center"/>
    </xf>
    <xf numFmtId="199" fontId="0" fillId="0" borderId="311" xfId="0" applyNumberFormat="1" applyBorder="1" applyAlignment="1">
      <alignment horizontal="center" vertical="center"/>
    </xf>
    <xf numFmtId="49" fontId="3" fillId="0" borderId="188" xfId="0" applyNumberFormat="1" applyFont="1" applyBorder="1" applyAlignment="1">
      <alignment horizontal="center" vertical="center" shrinkToFit="1"/>
    </xf>
    <xf numFmtId="0" fontId="3" fillId="0" borderId="191" xfId="0" applyFont="1" applyBorder="1" applyAlignment="1">
      <alignment vertical="center" wrapText="1"/>
    </xf>
    <xf numFmtId="0" fontId="38" fillId="55" borderId="187" xfId="0" applyFont="1" applyFill="1" applyBorder="1" applyAlignment="1">
      <alignment horizontal="center" vertical="center" wrapText="1"/>
    </xf>
    <xf numFmtId="0" fontId="38" fillId="55" borderId="188" xfId="0" applyFont="1" applyFill="1" applyBorder="1" applyAlignment="1">
      <alignment horizontal="center" vertical="center" wrapText="1"/>
    </xf>
    <xf numFmtId="49" fontId="68" fillId="0" borderId="0" xfId="0" applyNumberFormat="1" applyFont="1" applyAlignment="1">
      <alignment horizontal="center" vertical="top" shrinkToFit="1"/>
    </xf>
    <xf numFmtId="199" fontId="3" fillId="0" borderId="67" xfId="0" applyNumberFormat="1" applyFont="1" applyBorder="1" applyAlignment="1">
      <alignment horizontal="left" vertical="center"/>
    </xf>
    <xf numFmtId="49" fontId="3" fillId="0" borderId="313" xfId="0" applyNumberFormat="1" applyFont="1" applyBorder="1" applyAlignment="1">
      <alignment horizontal="center" vertical="center" shrinkToFit="1"/>
    </xf>
    <xf numFmtId="49" fontId="3" fillId="0" borderId="189" xfId="0" applyNumberFormat="1" applyFont="1" applyBorder="1" applyAlignment="1">
      <alignment horizontal="left" vertical="center" wrapText="1" shrinkToFit="1"/>
    </xf>
    <xf numFmtId="213" fontId="13" fillId="64" borderId="116" xfId="0" applyNumberFormat="1" applyFont="1" applyFill="1" applyBorder="1" applyAlignment="1">
      <alignment horizontal="left" vertical="center" wrapText="1"/>
    </xf>
    <xf numFmtId="49" fontId="3" fillId="0" borderId="39" xfId="0" applyNumberFormat="1" applyFont="1" applyBorder="1" applyAlignment="1">
      <alignment horizontal="center" vertical="center" shrinkToFit="1"/>
    </xf>
    <xf numFmtId="0" fontId="3" fillId="0" borderId="39" xfId="0" applyFont="1" applyBorder="1" applyAlignment="1">
      <alignment vertical="center" wrapText="1"/>
    </xf>
    <xf numFmtId="0" fontId="165" fillId="0" borderId="39" xfId="0" applyFont="1" applyBorder="1" applyAlignment="1">
      <alignment horizontal="center" vertical="center" wrapText="1"/>
    </xf>
    <xf numFmtId="0" fontId="0" fillId="0" borderId="315" xfId="0" applyBorder="1" applyAlignment="1">
      <alignment horizontal="center" vertical="center"/>
    </xf>
    <xf numFmtId="213" fontId="13" fillId="64" borderId="11" xfId="0" applyNumberFormat="1" applyFont="1" applyFill="1" applyBorder="1" applyAlignment="1">
      <alignment horizontal="left" vertical="center" wrapText="1"/>
    </xf>
    <xf numFmtId="0" fontId="13" fillId="64" borderId="116" xfId="0" applyFont="1" applyFill="1" applyBorder="1" applyAlignment="1">
      <alignment horizontal="left" vertical="center" wrapText="1"/>
    </xf>
    <xf numFmtId="0" fontId="13" fillId="64" borderId="11" xfId="0" applyFont="1" applyFill="1" applyBorder="1" applyAlignment="1">
      <alignment horizontal="left" vertical="center" wrapText="1"/>
    </xf>
    <xf numFmtId="49" fontId="10" fillId="0" borderId="67" xfId="0" applyNumberFormat="1" applyFont="1" applyBorder="1">
      <alignment vertical="center"/>
    </xf>
    <xf numFmtId="49" fontId="3" fillId="0" borderId="67" xfId="0" applyNumberFormat="1" applyFont="1" applyBorder="1" applyAlignment="1">
      <alignment horizontal="left" vertical="center" wrapText="1"/>
    </xf>
    <xf numFmtId="49" fontId="3" fillId="0" borderId="67" xfId="0" applyNumberFormat="1" applyFont="1" applyBorder="1" applyAlignment="1">
      <alignment horizontal="center" vertical="center" wrapText="1"/>
    </xf>
    <xf numFmtId="0" fontId="165" fillId="0" borderId="67" xfId="0" applyFont="1" applyBorder="1" applyAlignment="1">
      <alignment horizontal="left" vertical="center" wrapText="1"/>
    </xf>
    <xf numFmtId="0" fontId="165" fillId="55" borderId="305" xfId="0" applyFont="1" applyFill="1" applyBorder="1" applyAlignment="1">
      <alignment horizontal="center" vertical="center" wrapText="1"/>
    </xf>
    <xf numFmtId="0" fontId="165" fillId="55" borderId="297" xfId="0" applyFont="1" applyFill="1" applyBorder="1" applyAlignment="1">
      <alignment horizontal="center" vertical="center" wrapText="1"/>
    </xf>
    <xf numFmtId="0" fontId="13" fillId="64" borderId="104" xfId="0" applyFont="1" applyFill="1" applyBorder="1" applyAlignment="1">
      <alignment horizontal="left" vertical="center" wrapText="1"/>
    </xf>
    <xf numFmtId="0" fontId="165" fillId="55" borderId="300" xfId="0" applyFont="1" applyFill="1" applyBorder="1" applyAlignment="1">
      <alignment horizontal="center" vertical="center" wrapText="1"/>
    </xf>
    <xf numFmtId="0" fontId="165" fillId="55" borderId="286" xfId="0" applyFont="1" applyFill="1" applyBorder="1" applyAlignment="1">
      <alignment horizontal="center" vertical="center" wrapText="1"/>
    </xf>
    <xf numFmtId="0" fontId="13" fillId="64" borderId="69" xfId="0" applyFont="1" applyFill="1" applyBorder="1" applyAlignment="1">
      <alignment horizontal="left" vertical="center" wrapText="1"/>
    </xf>
    <xf numFmtId="0" fontId="13" fillId="65" borderId="40" xfId="0" applyFont="1" applyFill="1" applyBorder="1" applyAlignment="1">
      <alignment vertical="top" wrapText="1"/>
    </xf>
    <xf numFmtId="0" fontId="13" fillId="65" borderId="116" xfId="0" applyFont="1" applyFill="1" applyBorder="1" applyAlignment="1">
      <alignment vertical="top" wrapText="1"/>
    </xf>
    <xf numFmtId="0" fontId="13" fillId="65" borderId="104" xfId="0" applyFont="1" applyFill="1" applyBorder="1" applyAlignment="1">
      <alignment horizontal="left" vertical="center" wrapText="1"/>
    </xf>
    <xf numFmtId="0" fontId="13" fillId="65" borderId="11" xfId="0" applyFont="1" applyFill="1" applyBorder="1" applyAlignment="1">
      <alignment horizontal="left" vertical="center" wrapText="1"/>
    </xf>
    <xf numFmtId="0" fontId="13" fillId="66" borderId="10" xfId="0" applyFont="1" applyFill="1" applyBorder="1" applyAlignment="1">
      <alignment horizontal="left" vertical="top" wrapText="1"/>
    </xf>
    <xf numFmtId="49" fontId="3" fillId="43" borderId="39" xfId="0" applyNumberFormat="1" applyFont="1" applyFill="1" applyBorder="1" applyAlignment="1">
      <alignment horizontal="center" vertical="center" wrapText="1"/>
    </xf>
    <xf numFmtId="0" fontId="3" fillId="43" borderId="39" xfId="0" applyFont="1" applyFill="1" applyBorder="1" applyAlignment="1">
      <alignment horizontal="left" vertical="center" wrapText="1"/>
    </xf>
    <xf numFmtId="0" fontId="3" fillId="43" borderId="39" xfId="0" applyFont="1" applyFill="1" applyBorder="1">
      <alignment vertical="center"/>
    </xf>
    <xf numFmtId="0" fontId="38" fillId="43" borderId="39" xfId="0" applyFont="1" applyFill="1" applyBorder="1">
      <alignment vertical="center"/>
    </xf>
    <xf numFmtId="199" fontId="3" fillId="43" borderId="39" xfId="0" applyNumberFormat="1" applyFont="1" applyFill="1" applyBorder="1" applyAlignment="1">
      <alignment horizontal="left" vertical="center"/>
    </xf>
    <xf numFmtId="199" fontId="38" fillId="43" borderId="39" xfId="0" applyNumberFormat="1" applyFont="1" applyFill="1" applyBorder="1" applyAlignment="1">
      <alignment horizontal="center" vertical="center"/>
    </xf>
    <xf numFmtId="199" fontId="38" fillId="43" borderId="17" xfId="0" applyNumberFormat="1" applyFont="1" applyFill="1" applyBorder="1" applyAlignment="1">
      <alignment horizontal="center" vertical="center"/>
    </xf>
    <xf numFmtId="0" fontId="3" fillId="43" borderId="48" xfId="0" applyFont="1" applyFill="1" applyBorder="1" applyAlignment="1">
      <alignment vertical="center" shrinkToFit="1"/>
    </xf>
    <xf numFmtId="0" fontId="3" fillId="43" borderId="39" xfId="0" applyFont="1" applyFill="1" applyBorder="1" applyAlignment="1">
      <alignment vertical="center" shrinkToFit="1"/>
    </xf>
    <xf numFmtId="0" fontId="0" fillId="43" borderId="200" xfId="0" applyFill="1" applyBorder="1" applyAlignment="1">
      <alignment horizontal="center" vertical="center"/>
    </xf>
    <xf numFmtId="0" fontId="13" fillId="66" borderId="48" xfId="0" applyFont="1" applyFill="1" applyBorder="1" applyAlignment="1">
      <alignment horizontal="left" vertical="top" wrapText="1"/>
    </xf>
    <xf numFmtId="0" fontId="13" fillId="67" borderId="40" xfId="0" applyFont="1" applyFill="1" applyBorder="1" applyAlignment="1">
      <alignment horizontal="left" vertical="center" wrapText="1"/>
    </xf>
    <xf numFmtId="0" fontId="13" fillId="67" borderId="11" xfId="0" applyFont="1" applyFill="1" applyBorder="1" applyAlignment="1">
      <alignment horizontal="left" vertical="center" wrapText="1"/>
    </xf>
    <xf numFmtId="0" fontId="13" fillId="67" borderId="116" xfId="0" applyFont="1" applyFill="1" applyBorder="1" applyAlignment="1">
      <alignment horizontal="left" vertical="center" wrapText="1"/>
    </xf>
    <xf numFmtId="0" fontId="3" fillId="0" borderId="108" xfId="0" applyFont="1" applyBorder="1" applyAlignment="1">
      <alignment vertical="center" wrapText="1"/>
    </xf>
    <xf numFmtId="0" fontId="3" fillId="0" borderId="200" xfId="0" applyFont="1" applyBorder="1" applyAlignment="1">
      <alignment vertical="center" wrapText="1"/>
    </xf>
    <xf numFmtId="0" fontId="0" fillId="0" borderId="16" xfId="0" applyBorder="1" applyAlignment="1">
      <alignment horizontal="center" vertical="top"/>
    </xf>
    <xf numFmtId="0" fontId="13" fillId="68" borderId="10" xfId="0" applyFont="1" applyFill="1" applyBorder="1" applyAlignment="1">
      <alignment horizontal="left" vertical="top" wrapText="1"/>
    </xf>
    <xf numFmtId="0" fontId="3" fillId="43" borderId="39" xfId="0" applyFont="1" applyFill="1" applyBorder="1" applyAlignment="1">
      <alignment horizontal="left" vertical="center"/>
    </xf>
    <xf numFmtId="0" fontId="13" fillId="68" borderId="48" xfId="0" applyFont="1" applyFill="1" applyBorder="1" applyAlignment="1">
      <alignment horizontal="left" vertical="top" wrapText="1"/>
    </xf>
    <xf numFmtId="0" fontId="13" fillId="69" borderId="40" xfId="0" applyFont="1" applyFill="1" applyBorder="1" applyAlignment="1">
      <alignment horizontal="left" vertical="top" wrapText="1"/>
    </xf>
    <xf numFmtId="0" fontId="13" fillId="69" borderId="11" xfId="0" applyFont="1" applyFill="1" applyBorder="1" applyAlignment="1">
      <alignment horizontal="left" vertical="top" wrapText="1"/>
    </xf>
    <xf numFmtId="49" fontId="68" fillId="0" borderId="21" xfId="0" applyNumberFormat="1" applyFont="1" applyBorder="1" applyAlignment="1">
      <alignment horizontal="center" vertical="top" shrinkToFit="1"/>
    </xf>
    <xf numFmtId="0" fontId="13" fillId="69" borderId="116" xfId="0" applyFont="1" applyFill="1" applyBorder="1" applyAlignment="1">
      <alignment horizontal="left" vertical="center" wrapText="1"/>
    </xf>
    <xf numFmtId="49" fontId="3" fillId="0" borderId="186" xfId="0" applyNumberFormat="1" applyFont="1" applyBorder="1" applyAlignment="1">
      <alignment vertical="center" shrinkToFit="1"/>
    </xf>
    <xf numFmtId="49" fontId="3" fillId="0" borderId="293" xfId="0" applyNumberFormat="1" applyFont="1" applyBorder="1" applyAlignment="1">
      <alignment vertical="center" wrapText="1" shrinkToFit="1"/>
    </xf>
    <xf numFmtId="0" fontId="13" fillId="69" borderId="11" xfId="0" applyFont="1" applyFill="1" applyBorder="1" applyAlignment="1">
      <alignment horizontal="left" vertical="center" wrapText="1"/>
    </xf>
    <xf numFmtId="49" fontId="68" fillId="0" borderId="0" xfId="0" applyNumberFormat="1" applyFont="1" applyAlignment="1">
      <alignment vertical="top" shrinkToFit="1"/>
    </xf>
    <xf numFmtId="0" fontId="13" fillId="69" borderId="104" xfId="0" applyFont="1" applyFill="1" applyBorder="1" applyAlignment="1">
      <alignment horizontal="left" vertical="center" wrapText="1"/>
    </xf>
    <xf numFmtId="49" fontId="3" fillId="0" borderId="187" xfId="0" applyNumberFormat="1" applyFont="1" applyBorder="1" applyAlignment="1">
      <alignment vertical="center" shrinkToFit="1"/>
    </xf>
    <xf numFmtId="49" fontId="3" fillId="0" borderId="288" xfId="0" applyNumberFormat="1" applyFont="1" applyBorder="1" applyAlignment="1">
      <alignment vertical="center" wrapText="1" shrinkToFit="1"/>
    </xf>
    <xf numFmtId="0" fontId="13" fillId="69" borderId="69" xfId="0" applyFont="1" applyFill="1" applyBorder="1" applyAlignment="1">
      <alignment horizontal="left" vertical="center" wrapText="1"/>
    </xf>
    <xf numFmtId="49" fontId="68" fillId="0" borderId="21" xfId="0" applyNumberFormat="1" applyFont="1" applyBorder="1" applyAlignment="1">
      <alignment vertical="top" shrinkToFit="1"/>
    </xf>
    <xf numFmtId="199" fontId="3" fillId="0" borderId="0" xfId="0" applyNumberFormat="1" applyFont="1" applyAlignment="1">
      <alignment horizontal="center" vertical="center"/>
    </xf>
    <xf numFmtId="0" fontId="168" fillId="0" borderId="0" xfId="0" applyFont="1" applyAlignment="1">
      <alignment horizontal="centerContinuous" vertical="center"/>
    </xf>
    <xf numFmtId="0" fontId="169" fillId="0" borderId="0" xfId="0" applyFont="1">
      <alignment vertical="center"/>
    </xf>
    <xf numFmtId="0" fontId="3" fillId="0" borderId="0" xfId="0" applyFont="1" applyAlignment="1">
      <alignment horizontal="right" vertical="center"/>
    </xf>
    <xf numFmtId="199" fontId="3" fillId="0" borderId="310" xfId="0" applyNumberFormat="1" applyFont="1" applyBorder="1" applyAlignment="1" applyProtection="1">
      <alignment horizontal="left" vertical="center" wrapText="1"/>
      <protection locked="0"/>
    </xf>
    <xf numFmtId="199" fontId="38" fillId="0" borderId="39" xfId="0" applyNumberFormat="1" applyFont="1" applyBorder="1" applyAlignment="1" applyProtection="1">
      <alignment horizontal="center" vertical="center" wrapText="1"/>
      <protection locked="0"/>
    </xf>
    <xf numFmtId="199" fontId="38" fillId="0" borderId="157" xfId="0" applyNumberFormat="1" applyFont="1" applyBorder="1" applyAlignment="1" applyProtection="1">
      <alignment horizontal="center" vertical="center" wrapText="1"/>
      <protection locked="0"/>
    </xf>
    <xf numFmtId="199" fontId="38" fillId="0" borderId="295" xfId="0" applyNumberFormat="1" applyFont="1" applyBorder="1" applyAlignment="1" applyProtection="1">
      <alignment horizontal="center" vertical="center" wrapText="1"/>
      <protection locked="0"/>
    </xf>
    <xf numFmtId="199" fontId="3" fillId="0" borderId="301" xfId="0" applyNumberFormat="1" applyFont="1" applyBorder="1" applyAlignment="1" applyProtection="1">
      <alignment horizontal="left" vertical="center" wrapText="1"/>
      <protection locked="0"/>
    </xf>
    <xf numFmtId="199" fontId="38" fillId="0" borderId="287" xfId="0" applyNumberFormat="1" applyFont="1" applyBorder="1" applyAlignment="1" applyProtection="1">
      <alignment horizontal="center" vertical="center" wrapText="1"/>
      <protection locked="0"/>
    </xf>
    <xf numFmtId="199" fontId="38" fillId="0" borderId="199" xfId="0" applyNumberFormat="1" applyFont="1" applyBorder="1" applyAlignment="1" applyProtection="1">
      <alignment horizontal="center" vertical="center" wrapText="1"/>
      <protection locked="0"/>
    </xf>
    <xf numFmtId="199" fontId="38" fillId="0" borderId="67" xfId="0" applyNumberFormat="1" applyFont="1" applyBorder="1" applyAlignment="1" applyProtection="1">
      <alignment horizontal="center" vertical="center" wrapText="1"/>
      <protection locked="0"/>
    </xf>
    <xf numFmtId="199" fontId="38" fillId="0" borderId="0" xfId="0" applyNumberFormat="1" applyFont="1" applyAlignment="1" applyProtection="1">
      <alignment horizontal="center" vertical="center" wrapText="1"/>
      <protection locked="0"/>
    </xf>
    <xf numFmtId="199" fontId="3" fillId="0" borderId="291" xfId="0" applyNumberFormat="1" applyFont="1" applyBorder="1" applyAlignment="1" applyProtection="1">
      <alignment horizontal="left" vertical="center" wrapText="1"/>
      <protection locked="0"/>
    </xf>
    <xf numFmtId="199" fontId="38" fillId="0" borderId="158" xfId="0" applyNumberFormat="1" applyFont="1" applyBorder="1" applyAlignment="1" applyProtection="1">
      <alignment horizontal="center" vertical="center" wrapText="1"/>
      <protection locked="0"/>
    </xf>
    <xf numFmtId="199" fontId="3" fillId="0" borderId="288" xfId="0" applyNumberFormat="1" applyFont="1" applyBorder="1" applyAlignment="1" applyProtection="1">
      <alignment horizontal="left" vertical="center" wrapText="1"/>
      <protection locked="0"/>
    </xf>
    <xf numFmtId="199" fontId="38" fillId="0" borderId="191" xfId="0" applyNumberFormat="1" applyFont="1" applyBorder="1" applyAlignment="1" applyProtection="1">
      <alignment horizontal="center" vertical="center" wrapText="1"/>
      <protection locked="0"/>
    </xf>
    <xf numFmtId="199" fontId="38" fillId="0" borderId="136" xfId="0" applyNumberFormat="1" applyFont="1" applyBorder="1" applyAlignment="1" applyProtection="1">
      <alignment horizontal="center" vertical="center" wrapText="1"/>
      <protection locked="0"/>
    </xf>
    <xf numFmtId="199" fontId="38" fillId="0" borderId="307" xfId="0" applyNumberFormat="1" applyFont="1" applyBorder="1" applyAlignment="1" applyProtection="1">
      <alignment horizontal="center" vertical="center" wrapText="1"/>
      <protection locked="0"/>
    </xf>
    <xf numFmtId="199" fontId="148" fillId="0" borderId="301" xfId="0" applyNumberFormat="1" applyFont="1" applyBorder="1" applyAlignment="1" applyProtection="1">
      <alignment horizontal="left" vertical="center" wrapText="1"/>
      <protection locked="0"/>
    </xf>
    <xf numFmtId="199" fontId="38" fillId="0" borderId="314" xfId="0" applyNumberFormat="1" applyFont="1" applyBorder="1" applyAlignment="1" applyProtection="1">
      <alignment horizontal="center" vertical="center" wrapText="1"/>
      <protection locked="0"/>
    </xf>
    <xf numFmtId="199" fontId="38" fillId="0" borderId="108" xfId="0" applyNumberFormat="1" applyFont="1" applyBorder="1" applyAlignment="1" applyProtection="1">
      <alignment horizontal="center" vertical="center" wrapText="1"/>
      <protection locked="0"/>
    </xf>
    <xf numFmtId="199" fontId="38" fillId="0" borderId="110" xfId="0" applyNumberFormat="1" applyFont="1" applyBorder="1" applyAlignment="1" applyProtection="1">
      <alignment horizontal="center" vertical="center" wrapText="1"/>
      <protection locked="0"/>
    </xf>
    <xf numFmtId="199" fontId="38" fillId="0" borderId="111" xfId="0" applyNumberFormat="1" applyFont="1" applyBorder="1" applyAlignment="1" applyProtection="1">
      <alignment horizontal="center" vertical="center" wrapText="1"/>
      <protection locked="0"/>
    </xf>
    <xf numFmtId="199" fontId="38" fillId="0" borderId="114" xfId="0" applyNumberFormat="1" applyFont="1" applyBorder="1" applyAlignment="1" applyProtection="1">
      <alignment horizontal="center" vertical="center" wrapText="1"/>
      <protection locked="0"/>
    </xf>
    <xf numFmtId="199" fontId="38" fillId="0" borderId="289" xfId="0" applyNumberFormat="1" applyFont="1" applyBorder="1" applyAlignment="1" applyProtection="1">
      <alignment horizontal="center" vertical="center" wrapText="1"/>
      <protection locked="0"/>
    </xf>
    <xf numFmtId="199" fontId="38" fillId="0" borderId="18" xfId="0" applyNumberFormat="1" applyFont="1" applyBorder="1" applyAlignment="1" applyProtection="1">
      <alignment horizontal="center" vertical="center" wrapText="1"/>
      <protection locked="0"/>
    </xf>
    <xf numFmtId="199" fontId="38" fillId="0" borderId="311" xfId="0" applyNumberFormat="1" applyFont="1" applyBorder="1" applyAlignment="1" applyProtection="1">
      <alignment horizontal="center" vertical="center" wrapText="1"/>
      <protection locked="0"/>
    </xf>
    <xf numFmtId="0" fontId="38" fillId="0" borderId="46" xfId="0" applyFont="1" applyBorder="1" applyAlignment="1" applyProtection="1">
      <alignment horizontal="center" vertical="center" wrapText="1"/>
      <protection locked="0"/>
    </xf>
    <xf numFmtId="0" fontId="38" fillId="0" borderId="310" xfId="0" applyFont="1" applyBorder="1" applyAlignment="1" applyProtection="1">
      <alignment horizontal="center" vertical="center" wrapText="1"/>
      <protection locked="0"/>
    </xf>
    <xf numFmtId="0" fontId="38" fillId="0" borderId="301" xfId="0" applyFont="1" applyBorder="1" applyAlignment="1" applyProtection="1">
      <alignment horizontal="center" vertical="center" wrapText="1"/>
      <protection locked="0"/>
    </xf>
    <xf numFmtId="0" fontId="38" fillId="0" borderId="133" xfId="0"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0" fontId="38" fillId="0" borderId="288" xfId="0" applyFont="1" applyBorder="1" applyAlignment="1" applyProtection="1">
      <alignment horizontal="center" vertical="center" wrapText="1"/>
      <protection locked="0"/>
    </xf>
    <xf numFmtId="0" fontId="38" fillId="0" borderId="188" xfId="0" applyFont="1" applyBorder="1" applyAlignment="1" applyProtection="1">
      <alignment horizontal="center" vertical="center" wrapText="1"/>
      <protection locked="0"/>
    </xf>
    <xf numFmtId="0" fontId="38" fillId="0" borderId="44" xfId="0" applyFont="1" applyBorder="1" applyAlignment="1" applyProtection="1">
      <alignment horizontal="center" vertical="center" wrapText="1"/>
      <protection locked="0"/>
    </xf>
    <xf numFmtId="0" fontId="38" fillId="0" borderId="294" xfId="0" applyFont="1" applyBorder="1" applyAlignment="1" applyProtection="1">
      <alignment horizontal="center" vertical="center" wrapText="1"/>
      <protection locked="0"/>
    </xf>
    <xf numFmtId="0" fontId="38" fillId="0" borderId="42" xfId="0" applyFont="1" applyBorder="1" applyAlignment="1" applyProtection="1">
      <alignment horizontal="center" vertical="center" wrapText="1"/>
      <protection locked="0"/>
    </xf>
    <xf numFmtId="0" fontId="38" fillId="0" borderId="305" xfId="0" applyFont="1" applyBorder="1" applyAlignment="1" applyProtection="1">
      <alignment horizontal="center" vertical="center" wrapText="1"/>
      <protection locked="0"/>
    </xf>
    <xf numFmtId="199" fontId="38" fillId="0" borderId="67" xfId="0" applyNumberFormat="1" applyFont="1" applyBorder="1" applyAlignment="1">
      <alignment horizontal="center" vertical="center" wrapText="1"/>
    </xf>
    <xf numFmtId="0" fontId="38" fillId="0" borderId="13" xfId="0" applyFont="1" applyBorder="1" applyAlignment="1">
      <alignment horizontal="center" vertical="center" wrapText="1"/>
    </xf>
    <xf numFmtId="0" fontId="38" fillId="0" borderId="185" xfId="0" applyFont="1" applyBorder="1" applyAlignment="1">
      <alignment horizontal="center" vertical="center" wrapText="1"/>
    </xf>
    <xf numFmtId="0" fontId="38" fillId="0" borderId="128" xfId="0" applyFont="1" applyBorder="1" applyAlignment="1">
      <alignment horizontal="center" vertical="center" wrapText="1"/>
    </xf>
    <xf numFmtId="0" fontId="38" fillId="0" borderId="115" xfId="0" applyFont="1" applyBorder="1" applyAlignment="1">
      <alignment horizontal="center" vertical="center" wrapText="1"/>
    </xf>
    <xf numFmtId="0" fontId="38" fillId="0" borderId="104" xfId="0" applyFont="1" applyBorder="1" applyAlignment="1">
      <alignment horizontal="center" vertical="center" wrapText="1"/>
    </xf>
    <xf numFmtId="0" fontId="38" fillId="0" borderId="10" xfId="0" applyFont="1" applyBorder="1" applyAlignment="1">
      <alignment horizontal="center" vertical="center" wrapText="1"/>
    </xf>
    <xf numFmtId="199" fontId="3" fillId="0" borderId="67" xfId="0" applyNumberFormat="1" applyFont="1" applyBorder="1" applyAlignment="1">
      <alignment horizontal="left" vertical="center" wrapText="1"/>
    </xf>
    <xf numFmtId="0" fontId="173" fillId="0" borderId="0" xfId="0" applyFont="1" applyProtection="1">
      <alignment vertical="center"/>
      <protection hidden="1"/>
    </xf>
    <xf numFmtId="182" fontId="174" fillId="0" borderId="0" xfId="0" applyNumberFormat="1" applyFont="1" applyAlignment="1">
      <alignment horizontal="center" vertical="center" wrapText="1"/>
    </xf>
    <xf numFmtId="0" fontId="174" fillId="0" borderId="0" xfId="0" applyFont="1" applyAlignment="1">
      <alignment horizontal="center" vertical="center" wrapText="1"/>
    </xf>
    <xf numFmtId="182" fontId="175" fillId="71" borderId="10" xfId="0" applyNumberFormat="1" applyFont="1" applyFill="1" applyBorder="1" applyAlignment="1">
      <alignment horizontal="center" vertical="center" wrapText="1"/>
    </xf>
    <xf numFmtId="2" fontId="174" fillId="0" borderId="10" xfId="0" applyNumberFormat="1" applyFont="1" applyBorder="1" applyAlignment="1">
      <alignment horizontal="center" vertical="center"/>
    </xf>
    <xf numFmtId="2" fontId="174" fillId="0" borderId="10" xfId="0" applyNumberFormat="1" applyFont="1" applyBorder="1">
      <alignment vertical="center"/>
    </xf>
    <xf numFmtId="182" fontId="174" fillId="0" borderId="0" xfId="0" applyNumberFormat="1" applyFont="1">
      <alignment vertical="center"/>
    </xf>
    <xf numFmtId="0" fontId="174" fillId="0" borderId="0" xfId="0" applyFont="1">
      <alignment vertical="center"/>
    </xf>
    <xf numFmtId="0" fontId="174" fillId="0" borderId="0" xfId="0" applyFont="1" applyAlignment="1">
      <alignment horizontal="center" vertical="center"/>
    </xf>
    <xf numFmtId="182" fontId="175" fillId="71" borderId="10" xfId="0" applyNumberFormat="1" applyFont="1" applyFill="1" applyBorder="1" applyAlignment="1">
      <alignment horizontal="center" vertical="center"/>
    </xf>
    <xf numFmtId="0" fontId="13" fillId="0" borderId="11" xfId="0" applyFont="1" applyBorder="1" applyAlignment="1">
      <alignment horizontal="center" vertical="center"/>
    </xf>
    <xf numFmtId="199" fontId="162" fillId="51" borderId="39" xfId="0" applyNumberFormat="1" applyFont="1" applyFill="1" applyBorder="1" applyAlignment="1">
      <alignment horizontal="center" vertical="center" shrinkToFit="1"/>
    </xf>
    <xf numFmtId="0" fontId="162" fillId="51" borderId="39" xfId="0" applyFont="1" applyFill="1" applyBorder="1">
      <alignment vertical="center"/>
    </xf>
    <xf numFmtId="0" fontId="162" fillId="51" borderId="17" xfId="0" applyFont="1" applyFill="1" applyBorder="1" applyAlignment="1">
      <alignment horizontal="center" vertical="center"/>
    </xf>
    <xf numFmtId="0" fontId="164" fillId="70" borderId="48" xfId="0" applyFont="1" applyFill="1" applyBorder="1" applyAlignment="1">
      <alignment vertical="top" wrapText="1"/>
    </xf>
    <xf numFmtId="177" fontId="68" fillId="43" borderId="39" xfId="0" applyNumberFormat="1" applyFont="1" applyFill="1" applyBorder="1" applyAlignment="1">
      <alignment horizontal="center" vertical="center"/>
    </xf>
    <xf numFmtId="199" fontId="68" fillId="43" borderId="39" xfId="0" applyNumberFormat="1" applyFont="1" applyFill="1" applyBorder="1" applyAlignment="1">
      <alignment horizontal="center" vertical="center"/>
    </xf>
    <xf numFmtId="49" fontId="3" fillId="43" borderId="39" xfId="0" applyNumberFormat="1" applyFont="1" applyFill="1" applyBorder="1" applyAlignment="1">
      <alignment horizontal="left" vertical="center"/>
    </xf>
    <xf numFmtId="0" fontId="0" fillId="0" borderId="51" xfId="0" applyBorder="1">
      <alignment vertical="center"/>
    </xf>
    <xf numFmtId="199" fontId="13" fillId="43" borderId="39" xfId="0" applyNumberFormat="1" applyFont="1" applyFill="1" applyBorder="1" applyAlignment="1">
      <alignment horizontal="center" wrapText="1"/>
    </xf>
    <xf numFmtId="0" fontId="169" fillId="0" borderId="21" xfId="0" applyFont="1" applyBorder="1">
      <alignment vertical="center"/>
    </xf>
    <xf numFmtId="0" fontId="176" fillId="0" borderId="0" xfId="0" applyFont="1" applyAlignment="1">
      <alignment horizontal="right" vertical="center"/>
    </xf>
    <xf numFmtId="213" fontId="0" fillId="55" borderId="150" xfId="0" applyNumberFormat="1" applyFill="1" applyBorder="1">
      <alignment vertical="center"/>
    </xf>
    <xf numFmtId="213" fontId="0" fillId="55" borderId="295" xfId="0" applyNumberFormat="1" applyFill="1" applyBorder="1">
      <alignment vertical="center"/>
    </xf>
    <xf numFmtId="213" fontId="0" fillId="55" borderId="287" xfId="0" applyNumberFormat="1" applyFill="1" applyBorder="1">
      <alignment vertical="center"/>
    </xf>
    <xf numFmtId="213" fontId="0" fillId="0" borderId="21" xfId="0" applyNumberFormat="1" applyBorder="1" applyProtection="1">
      <alignment vertical="center"/>
      <protection locked="0"/>
    </xf>
    <xf numFmtId="213" fontId="0" fillId="55" borderId="304" xfId="0" applyNumberFormat="1" applyFill="1" applyBorder="1">
      <alignment vertical="center"/>
    </xf>
    <xf numFmtId="213" fontId="160" fillId="0" borderId="21" xfId="0" applyNumberFormat="1" applyFont="1" applyBorder="1" applyProtection="1">
      <alignment vertical="center"/>
      <protection locked="0"/>
    </xf>
    <xf numFmtId="213" fontId="0" fillId="55" borderId="310" xfId="0" applyNumberFormat="1" applyFill="1" applyBorder="1">
      <alignment vertical="center"/>
    </xf>
    <xf numFmtId="213" fontId="0" fillId="0" borderId="0" xfId="0" applyNumberFormat="1">
      <alignment vertical="center"/>
    </xf>
    <xf numFmtId="213" fontId="0" fillId="55" borderId="291" xfId="0" applyNumberFormat="1" applyFill="1" applyBorder="1">
      <alignment vertical="center"/>
    </xf>
    <xf numFmtId="213" fontId="0" fillId="55" borderId="294" xfId="0" applyNumberFormat="1" applyFill="1" applyBorder="1">
      <alignment vertical="center"/>
    </xf>
    <xf numFmtId="213" fontId="0" fillId="55" borderId="301" xfId="0" applyNumberFormat="1" applyFill="1" applyBorder="1">
      <alignment vertical="center"/>
    </xf>
    <xf numFmtId="213" fontId="0" fillId="0" borderId="0" xfId="0" applyNumberFormat="1" applyProtection="1">
      <alignment vertical="center"/>
      <protection locked="0"/>
    </xf>
    <xf numFmtId="213" fontId="0" fillId="55" borderId="303" xfId="0" applyNumberFormat="1" applyFill="1" applyBorder="1">
      <alignment vertical="center"/>
    </xf>
    <xf numFmtId="213" fontId="0" fillId="55" borderId="285" xfId="0" applyNumberFormat="1" applyFill="1" applyBorder="1">
      <alignment vertical="center"/>
    </xf>
    <xf numFmtId="213" fontId="0" fillId="0" borderId="39" xfId="0" applyNumberFormat="1" applyBorder="1" applyProtection="1">
      <alignment vertical="center"/>
      <protection locked="0"/>
    </xf>
    <xf numFmtId="213" fontId="0" fillId="0" borderId="18" xfId="0" applyNumberFormat="1" applyBorder="1" applyProtection="1">
      <alignment vertical="center"/>
      <protection locked="0"/>
    </xf>
    <xf numFmtId="213" fontId="0" fillId="0" borderId="110" xfId="0" applyNumberFormat="1" applyBorder="1" applyProtection="1">
      <alignment vertical="center"/>
      <protection locked="0"/>
    </xf>
    <xf numFmtId="213" fontId="0" fillId="0" borderId="108" xfId="0" applyNumberFormat="1" applyBorder="1" applyProtection="1">
      <alignment vertical="center"/>
      <protection locked="0"/>
    </xf>
    <xf numFmtId="213" fontId="0" fillId="43" borderId="0" xfId="0" applyNumberFormat="1" applyFill="1">
      <alignment vertical="center"/>
    </xf>
    <xf numFmtId="213" fontId="0" fillId="43" borderId="39" xfId="0" applyNumberFormat="1" applyFill="1" applyBorder="1">
      <alignment vertical="center"/>
    </xf>
    <xf numFmtId="0" fontId="165" fillId="0" borderId="0" xfId="0" applyFont="1" applyAlignment="1">
      <alignment horizontal="center" vertical="center"/>
    </xf>
    <xf numFmtId="0" fontId="164" fillId="43" borderId="17" xfId="0" applyFont="1" applyFill="1" applyBorder="1" applyAlignment="1">
      <alignment horizontal="center" vertical="center"/>
    </xf>
    <xf numFmtId="0" fontId="160" fillId="43" borderId="307" xfId="0" applyFont="1" applyFill="1" applyBorder="1" applyAlignment="1" applyProtection="1">
      <alignment horizontal="center" vertical="center" shrinkToFit="1"/>
      <protection locked="0"/>
    </xf>
    <xf numFmtId="0" fontId="160" fillId="43" borderId="319" xfId="0" applyFont="1" applyFill="1" applyBorder="1" applyAlignment="1" applyProtection="1">
      <alignment horizontal="center" vertical="center" shrinkToFit="1"/>
      <protection locked="0"/>
    </xf>
    <xf numFmtId="0" fontId="160" fillId="43" borderId="314" xfId="0" applyFont="1" applyFill="1" applyBorder="1" applyAlignment="1" applyProtection="1">
      <alignment horizontal="center" vertical="center" shrinkToFit="1"/>
      <protection locked="0"/>
    </xf>
    <xf numFmtId="0" fontId="160" fillId="43" borderId="94" xfId="0" applyFont="1" applyFill="1" applyBorder="1" applyAlignment="1" applyProtection="1">
      <alignment horizontal="center" vertical="center" shrinkToFit="1"/>
      <protection locked="0"/>
    </xf>
    <xf numFmtId="0" fontId="160" fillId="0" borderId="51" xfId="0" applyFont="1" applyBorder="1" applyAlignment="1" applyProtection="1">
      <alignment horizontal="center" vertical="center" shrinkToFit="1"/>
      <protection locked="0"/>
    </xf>
    <xf numFmtId="0" fontId="160" fillId="0" borderId="314" xfId="0" applyFont="1" applyBorder="1" applyAlignment="1" applyProtection="1">
      <alignment horizontal="center" vertical="center" shrinkToFit="1"/>
      <protection locked="0"/>
    </xf>
    <xf numFmtId="0" fontId="160" fillId="43" borderId="17" xfId="0" applyFont="1" applyFill="1" applyBorder="1" applyAlignment="1" applyProtection="1">
      <alignment horizontal="center" vertical="center" shrinkToFit="1"/>
      <protection locked="0"/>
    </xf>
    <xf numFmtId="0" fontId="160" fillId="0" borderId="0" xfId="0" applyFont="1" applyAlignment="1" applyProtection="1">
      <alignment horizontal="center" vertical="center" shrinkToFit="1"/>
      <protection locked="0"/>
    </xf>
    <xf numFmtId="0" fontId="160" fillId="43" borderId="51" xfId="0" applyFont="1" applyFill="1" applyBorder="1" applyAlignment="1" applyProtection="1">
      <alignment horizontal="center" vertical="center" shrinkToFit="1"/>
      <protection locked="0"/>
    </xf>
    <xf numFmtId="0" fontId="160" fillId="0" borderId="307" xfId="0" applyFont="1" applyBorder="1" applyAlignment="1" applyProtection="1">
      <alignment horizontal="center" vertical="center" shrinkToFit="1"/>
      <protection locked="0"/>
    </xf>
    <xf numFmtId="0" fontId="160" fillId="0" borderId="16" xfId="0" applyFont="1" applyBorder="1" applyAlignment="1" applyProtection="1">
      <alignment horizontal="center" vertical="center" shrinkToFit="1"/>
      <protection locked="0"/>
    </xf>
    <xf numFmtId="0" fontId="160" fillId="43" borderId="134" xfId="0" applyFont="1" applyFill="1" applyBorder="1" applyAlignment="1" applyProtection="1">
      <alignment horizontal="center" vertical="center" shrinkToFit="1"/>
      <protection locked="0"/>
    </xf>
    <xf numFmtId="0" fontId="160" fillId="0" borderId="17" xfId="0" applyFont="1" applyBorder="1" applyAlignment="1" applyProtection="1">
      <alignment horizontal="center" vertical="center" shrinkToFit="1"/>
      <protection locked="0"/>
    </xf>
    <xf numFmtId="0" fontId="160" fillId="0" borderId="43" xfId="0" applyFont="1" applyBorder="1" applyAlignment="1" applyProtection="1">
      <alignment horizontal="center" vertical="center" shrinkToFit="1"/>
      <protection locked="0"/>
    </xf>
    <xf numFmtId="0" fontId="160" fillId="0" borderId="47" xfId="0" applyFont="1" applyBorder="1" applyAlignment="1" applyProtection="1">
      <alignment horizontal="center" vertical="center" shrinkToFit="1"/>
      <protection locked="0"/>
    </xf>
    <xf numFmtId="0" fontId="160" fillId="43" borderId="43" xfId="0" applyFont="1" applyFill="1" applyBorder="1" applyAlignment="1" applyProtection="1">
      <alignment horizontal="center" vertical="center" shrinkToFit="1"/>
      <protection locked="0"/>
    </xf>
    <xf numFmtId="0" fontId="160" fillId="43" borderId="45" xfId="0" applyFont="1" applyFill="1" applyBorder="1" applyAlignment="1" applyProtection="1">
      <alignment horizontal="center" vertical="center" shrinkToFit="1"/>
      <protection locked="0"/>
    </xf>
    <xf numFmtId="0" fontId="160" fillId="43" borderId="47" xfId="0" applyFont="1" applyFill="1" applyBorder="1" applyAlignment="1" applyProtection="1">
      <alignment horizontal="center" vertical="center" shrinkToFit="1"/>
      <protection locked="0"/>
    </xf>
    <xf numFmtId="0" fontId="160" fillId="0" borderId="45" xfId="0" applyFont="1" applyBorder="1" applyAlignment="1" applyProtection="1">
      <alignment horizontal="center" vertical="center" shrinkToFit="1"/>
      <protection locked="0"/>
    </xf>
    <xf numFmtId="0" fontId="160" fillId="43" borderId="0" xfId="0" applyFont="1" applyFill="1" applyAlignment="1" applyProtection="1">
      <alignment horizontal="center" vertical="center" shrinkToFit="1"/>
      <protection locked="0"/>
    </xf>
    <xf numFmtId="0" fontId="0" fillId="0" borderId="21" xfId="0" applyBorder="1" applyAlignment="1">
      <alignment horizontal="centerContinuous" vertical="center"/>
    </xf>
    <xf numFmtId="0" fontId="2" fillId="0" borderId="21" xfId="0" applyFont="1" applyBorder="1" applyAlignment="1">
      <alignment horizontal="centerContinuous" vertical="center"/>
    </xf>
    <xf numFmtId="0" fontId="174" fillId="0" borderId="10" xfId="0" applyFont="1" applyBorder="1" applyAlignment="1">
      <alignment horizontal="center" vertical="center" wrapText="1"/>
    </xf>
    <xf numFmtId="2" fontId="174" fillId="0" borderId="0" xfId="0" applyNumberFormat="1" applyFont="1" applyAlignment="1">
      <alignment horizontal="center" vertical="center" wrapText="1"/>
    </xf>
    <xf numFmtId="0" fontId="64" fillId="0" borderId="0" xfId="0" applyFont="1" applyAlignment="1" applyProtection="1">
      <alignment horizontal="right" vertical="center"/>
      <protection hidden="1"/>
    </xf>
    <xf numFmtId="0" fontId="64" fillId="0" borderId="40" xfId="0" applyFont="1" applyBorder="1" applyProtection="1">
      <alignment vertical="center"/>
      <protection hidden="1"/>
    </xf>
    <xf numFmtId="0" fontId="64" fillId="0" borderId="104" xfId="0" applyFont="1" applyBorder="1" applyProtection="1">
      <alignment vertical="center"/>
      <protection hidden="1"/>
    </xf>
    <xf numFmtId="0" fontId="173" fillId="0" borderId="11" xfId="0" applyFont="1" applyBorder="1" applyAlignment="1" applyProtection="1">
      <alignment horizontal="left" vertical="center"/>
      <protection hidden="1"/>
    </xf>
    <xf numFmtId="0" fontId="13" fillId="43" borderId="17" xfId="0" applyFont="1" applyFill="1" applyBorder="1" applyAlignment="1">
      <alignment horizontal="center" vertical="center"/>
    </xf>
    <xf numFmtId="0" fontId="13" fillId="43" borderId="17" xfId="0" applyFont="1" applyFill="1" applyBorder="1" applyAlignment="1">
      <alignment horizontal="center"/>
    </xf>
    <xf numFmtId="179" fontId="10" fillId="26" borderId="38" xfId="0" applyNumberFormat="1" applyFont="1" applyFill="1" applyBorder="1" applyAlignment="1" applyProtection="1">
      <alignment horizontal="center" vertical="center"/>
      <protection hidden="1"/>
    </xf>
    <xf numFmtId="179" fontId="10" fillId="26" borderId="39" xfId="0" applyNumberFormat="1" applyFont="1" applyFill="1" applyBorder="1" applyAlignment="1" applyProtection="1">
      <alignment horizontal="center" vertical="center"/>
      <protection hidden="1"/>
    </xf>
    <xf numFmtId="179" fontId="10" fillId="26" borderId="17" xfId="0" applyNumberFormat="1" applyFont="1" applyFill="1" applyBorder="1" applyAlignment="1" applyProtection="1">
      <alignment horizontal="center" vertical="center"/>
      <protection hidden="1"/>
    </xf>
    <xf numFmtId="0" fontId="180" fillId="24" borderId="0" xfId="0" applyFont="1" applyFill="1">
      <alignment vertical="center"/>
    </xf>
    <xf numFmtId="0" fontId="180" fillId="0" borderId="0" xfId="0" applyFont="1">
      <alignment vertical="center"/>
    </xf>
    <xf numFmtId="0" fontId="183" fillId="24" borderId="0" xfId="0" applyFont="1" applyFill="1" applyAlignment="1" applyProtection="1">
      <alignment vertical="center" wrapText="1"/>
      <protection hidden="1"/>
    </xf>
    <xf numFmtId="0" fontId="183" fillId="24" borderId="0" xfId="0" applyFont="1" applyFill="1" applyProtection="1">
      <alignment vertical="center"/>
      <protection hidden="1"/>
    </xf>
    <xf numFmtId="178" fontId="180" fillId="0" borderId="0" xfId="0" applyNumberFormat="1" applyFont="1" applyAlignment="1" applyProtection="1">
      <alignment horizontal="center" vertical="center"/>
      <protection hidden="1"/>
    </xf>
    <xf numFmtId="38" fontId="184" fillId="0" borderId="0" xfId="0" applyNumberFormat="1" applyFont="1" applyAlignment="1">
      <alignment horizontal="center" vertical="center"/>
    </xf>
    <xf numFmtId="0" fontId="180" fillId="0" borderId="0" xfId="0" applyFont="1" applyProtection="1">
      <alignment vertical="center"/>
      <protection hidden="1"/>
    </xf>
    <xf numFmtId="0" fontId="185" fillId="24" borderId="21" xfId="0" applyFont="1" applyFill="1" applyBorder="1" applyProtection="1">
      <alignment vertical="center"/>
      <protection hidden="1"/>
    </xf>
    <xf numFmtId="0" fontId="182" fillId="24" borderId="21" xfId="0" applyFont="1" applyFill="1" applyBorder="1" applyProtection="1">
      <alignment vertical="center"/>
      <protection hidden="1"/>
    </xf>
    <xf numFmtId="0" fontId="181" fillId="24" borderId="0" xfId="0" applyFont="1" applyFill="1" applyAlignment="1" applyProtection="1">
      <alignment horizontal="left" vertical="center"/>
      <protection hidden="1"/>
    </xf>
    <xf numFmtId="0" fontId="186" fillId="24" borderId="0" xfId="0" applyFont="1" applyFill="1" applyAlignment="1" applyProtection="1">
      <alignment horizontal="left" vertical="center"/>
      <protection hidden="1"/>
    </xf>
    <xf numFmtId="0" fontId="180" fillId="24" borderId="0" xfId="0" applyFont="1" applyFill="1" applyProtection="1">
      <alignment vertical="center"/>
      <protection hidden="1"/>
    </xf>
    <xf numFmtId="0" fontId="183" fillId="24" borderId="0" xfId="0" applyFont="1" applyFill="1" applyAlignment="1" applyProtection="1">
      <alignment horizontal="left" vertical="center"/>
      <protection hidden="1"/>
    </xf>
    <xf numFmtId="0" fontId="187" fillId="24" borderId="0" xfId="0" applyFont="1" applyFill="1">
      <alignment vertical="center"/>
    </xf>
    <xf numFmtId="0" fontId="184" fillId="0" borderId="0" xfId="0" applyFont="1">
      <alignment vertical="center"/>
    </xf>
    <xf numFmtId="0" fontId="180" fillId="25" borderId="48" xfId="0" applyFont="1" applyFill="1" applyBorder="1">
      <alignment vertical="center"/>
    </xf>
    <xf numFmtId="0" fontId="188" fillId="0" borderId="0" xfId="0" applyFont="1" applyAlignment="1">
      <alignment horizontal="left" vertical="center"/>
    </xf>
    <xf numFmtId="0" fontId="189" fillId="0" borderId="0" xfId="0" applyFont="1">
      <alignment vertical="center"/>
    </xf>
    <xf numFmtId="0" fontId="179" fillId="0" borderId="0" xfId="0" applyFont="1">
      <alignment vertical="center"/>
    </xf>
    <xf numFmtId="0" fontId="188" fillId="24" borderId="0" xfId="0" applyFont="1" applyFill="1" applyAlignment="1" applyProtection="1">
      <alignment horizontal="left" vertical="center"/>
      <protection hidden="1"/>
    </xf>
    <xf numFmtId="0" fontId="179" fillId="24" borderId="0" xfId="0" applyFont="1" applyFill="1">
      <alignment vertical="center"/>
    </xf>
    <xf numFmtId="0" fontId="190" fillId="24" borderId="0" xfId="0" applyFont="1" applyFill="1" applyProtection="1">
      <alignment vertical="center"/>
      <protection hidden="1"/>
    </xf>
    <xf numFmtId="0" fontId="179" fillId="0" borderId="0" xfId="0" applyFont="1" applyProtection="1">
      <alignment vertical="center"/>
      <protection hidden="1"/>
    </xf>
    <xf numFmtId="178" fontId="179" fillId="0" borderId="0" xfId="0" applyNumberFormat="1" applyFont="1" applyAlignment="1" applyProtection="1">
      <alignment horizontal="center" vertical="center"/>
      <protection hidden="1"/>
    </xf>
    <xf numFmtId="38" fontId="191" fillId="0" borderId="0" xfId="0" applyNumberFormat="1" applyFont="1" applyAlignment="1">
      <alignment horizontal="center" vertical="center"/>
    </xf>
    <xf numFmtId="0" fontId="191" fillId="0" borderId="0" xfId="0" applyFont="1">
      <alignment vertical="center"/>
    </xf>
    <xf numFmtId="0" fontId="3" fillId="25" borderId="0" xfId="0" applyFont="1" applyFill="1" applyProtection="1">
      <alignment vertical="center"/>
      <protection hidden="1"/>
    </xf>
    <xf numFmtId="0" fontId="157" fillId="0" borderId="0" xfId="0" applyFont="1" applyProtection="1">
      <alignment vertical="center"/>
      <protection hidden="1"/>
    </xf>
    <xf numFmtId="0" fontId="157" fillId="0" borderId="0" xfId="0" applyFont="1">
      <alignment vertical="center"/>
    </xf>
    <xf numFmtId="178" fontId="157" fillId="0" borderId="0" xfId="0" applyNumberFormat="1" applyFont="1" applyAlignment="1" applyProtection="1">
      <alignment horizontal="center" vertical="center"/>
      <protection hidden="1"/>
    </xf>
    <xf numFmtId="38" fontId="160" fillId="0" borderId="10" xfId="0" applyNumberFormat="1" applyFont="1" applyBorder="1" applyAlignment="1">
      <alignment horizontal="center" vertical="center"/>
    </xf>
    <xf numFmtId="38" fontId="160" fillId="0" borderId="0" xfId="0" applyNumberFormat="1" applyFont="1" applyAlignment="1">
      <alignment horizontal="center" vertical="center"/>
    </xf>
    <xf numFmtId="0" fontId="192" fillId="0" borderId="0" xfId="0" applyFont="1" applyAlignment="1" applyProtection="1">
      <alignment horizontal="left" vertical="center"/>
      <protection hidden="1"/>
    </xf>
    <xf numFmtId="0" fontId="3" fillId="25" borderId="114" xfId="0" applyFont="1" applyFill="1" applyBorder="1" applyProtection="1">
      <alignment vertical="center"/>
      <protection hidden="1"/>
    </xf>
    <xf numFmtId="0" fontId="3" fillId="25" borderId="16" xfId="0" applyFont="1" applyFill="1" applyBorder="1" applyProtection="1">
      <alignment vertical="center"/>
      <protection hidden="1"/>
    </xf>
    <xf numFmtId="38" fontId="0" fillId="0" borderId="10" xfId="0" applyNumberFormat="1" applyBorder="1" applyAlignment="1">
      <alignment horizontal="center" vertical="center"/>
    </xf>
    <xf numFmtId="193" fontId="193" fillId="25" borderId="10" xfId="35" applyNumberFormat="1" applyFont="1" applyFill="1" applyBorder="1" applyAlignment="1" applyProtection="1">
      <alignment horizontal="center" vertical="center"/>
      <protection hidden="1"/>
    </xf>
    <xf numFmtId="193" fontId="193" fillId="25" borderId="48" xfId="0" applyNumberFormat="1" applyFont="1" applyFill="1" applyBorder="1" applyAlignment="1" applyProtection="1">
      <alignment horizontal="center" vertical="center"/>
      <protection hidden="1"/>
    </xf>
    <xf numFmtId="193" fontId="193" fillId="25" borderId="17" xfId="35" applyNumberFormat="1" applyFont="1" applyFill="1" applyBorder="1" applyAlignment="1" applyProtection="1">
      <alignment horizontal="center" vertical="center"/>
      <protection hidden="1"/>
    </xf>
    <xf numFmtId="0" fontId="193" fillId="0" borderId="0" xfId="0" applyFont="1" applyAlignment="1">
      <alignment horizontal="center" vertical="top"/>
    </xf>
    <xf numFmtId="193" fontId="193" fillId="25" borderId="48" xfId="35" applyNumberFormat="1" applyFont="1" applyFill="1" applyBorder="1" applyAlignment="1" applyProtection="1">
      <alignment horizontal="center" vertical="center"/>
      <protection hidden="1"/>
    </xf>
    <xf numFmtId="193" fontId="193" fillId="25" borderId="17" xfId="35" applyNumberFormat="1" applyFont="1" applyFill="1" applyBorder="1" applyAlignment="1" applyProtection="1">
      <alignment horizontal="center"/>
      <protection hidden="1"/>
    </xf>
    <xf numFmtId="193" fontId="193" fillId="25" borderId="10" xfId="35" applyNumberFormat="1" applyFont="1" applyFill="1" applyBorder="1" applyAlignment="1" applyProtection="1">
      <alignment horizontal="center"/>
      <protection hidden="1"/>
    </xf>
    <xf numFmtId="0" fontId="0" fillId="0" borderId="116" xfId="0" applyBorder="1">
      <alignment vertical="center"/>
    </xf>
    <xf numFmtId="179" fontId="10" fillId="26" borderId="48" xfId="0" applyNumberFormat="1" applyFont="1" applyFill="1" applyBorder="1" applyAlignment="1" applyProtection="1">
      <alignment horizontal="centerContinuous" vertical="distributed"/>
      <protection hidden="1"/>
    </xf>
    <xf numFmtId="179" fontId="10" fillId="26" borderId="17" xfId="0" applyNumberFormat="1" applyFont="1" applyFill="1" applyBorder="1" applyAlignment="1" applyProtection="1">
      <alignment horizontal="centerContinuous" vertical="distributed"/>
      <protection hidden="1"/>
    </xf>
    <xf numFmtId="0" fontId="3" fillId="25" borderId="48" xfId="0" applyFont="1" applyFill="1" applyBorder="1" applyAlignment="1" applyProtection="1">
      <alignment horizontal="centerContinuous" vertical="center"/>
      <protection hidden="1"/>
    </xf>
    <xf numFmtId="177" fontId="10" fillId="25" borderId="51" xfId="0" applyNumberFormat="1" applyFont="1" applyFill="1" applyBorder="1" applyAlignment="1" applyProtection="1">
      <alignment horizontal="center" vertical="center" wrapText="1"/>
      <protection hidden="1"/>
    </xf>
    <xf numFmtId="38" fontId="0" fillId="0" borderId="0" xfId="0" applyNumberFormat="1" applyAlignment="1">
      <alignment horizontal="center" vertical="center"/>
    </xf>
    <xf numFmtId="178" fontId="3" fillId="0" borderId="0" xfId="0" applyNumberFormat="1" applyFont="1" applyProtection="1">
      <alignment vertical="center"/>
      <protection hidden="1"/>
    </xf>
    <xf numFmtId="183" fontId="25" fillId="0" borderId="81" xfId="0" applyNumberFormat="1" applyFont="1" applyBorder="1" applyAlignment="1" applyProtection="1">
      <alignment horizontal="center" vertical="center"/>
      <protection hidden="1"/>
    </xf>
    <xf numFmtId="215" fontId="0" fillId="47" borderId="0" xfId="0" applyNumberFormat="1" applyFill="1">
      <alignment vertical="center"/>
    </xf>
    <xf numFmtId="2" fontId="0" fillId="0" borderId="10" xfId="0" applyNumberFormat="1" applyBorder="1">
      <alignment vertical="center"/>
    </xf>
    <xf numFmtId="0" fontId="10" fillId="0" borderId="41" xfId="0" applyFont="1" applyBorder="1">
      <alignment vertical="center"/>
    </xf>
    <xf numFmtId="0" fontId="194" fillId="41" borderId="228" xfId="0" applyFont="1" applyFill="1" applyBorder="1">
      <alignment vertical="center"/>
    </xf>
    <xf numFmtId="181" fontId="0" fillId="0" borderId="0" xfId="0" applyNumberFormat="1">
      <alignment vertical="center"/>
    </xf>
    <xf numFmtId="0" fontId="194" fillId="41" borderId="262" xfId="0" applyFont="1" applyFill="1" applyBorder="1">
      <alignment vertical="center"/>
    </xf>
    <xf numFmtId="0" fontId="194" fillId="41" borderId="248" xfId="0" applyFont="1" applyFill="1" applyBorder="1">
      <alignment vertical="center"/>
    </xf>
    <xf numFmtId="188" fontId="0" fillId="0" borderId="231" xfId="0" applyNumberFormat="1" applyBorder="1">
      <alignment vertical="center"/>
    </xf>
    <xf numFmtId="188" fontId="0" fillId="0" borderId="258" xfId="0" applyNumberFormat="1" applyBorder="1" applyAlignment="1">
      <alignment horizontal="right" vertical="center"/>
    </xf>
    <xf numFmtId="0" fontId="1" fillId="0" borderId="0" xfId="0" applyFont="1">
      <alignment vertical="center"/>
    </xf>
    <xf numFmtId="0" fontId="1" fillId="0" borderId="0" xfId="0" applyFont="1" applyProtection="1">
      <alignment vertical="center"/>
      <protection hidden="1"/>
    </xf>
    <xf numFmtId="0" fontId="13" fillId="0" borderId="0" xfId="51" applyFont="1" applyAlignment="1">
      <alignment vertical="center"/>
    </xf>
    <xf numFmtId="0" fontId="1" fillId="0" borderId="0" xfId="51" applyAlignment="1">
      <alignment vertical="center"/>
    </xf>
    <xf numFmtId="0" fontId="13" fillId="0" borderId="0" xfId="51" applyFont="1" applyAlignment="1">
      <alignment horizontal="left" vertical="center"/>
    </xf>
    <xf numFmtId="180" fontId="13" fillId="0" borderId="0" xfId="51" applyNumberFormat="1" applyFont="1" applyAlignment="1">
      <alignment horizontal="left" vertical="center"/>
    </xf>
    <xf numFmtId="0" fontId="13" fillId="0" borderId="0" xfId="51" applyFont="1" applyAlignment="1">
      <alignment horizontal="right" vertical="center"/>
    </xf>
    <xf numFmtId="0" fontId="15" fillId="31" borderId="76" xfId="51" applyFont="1" applyFill="1" applyBorder="1" applyAlignment="1">
      <alignment vertical="center"/>
    </xf>
    <xf numFmtId="0" fontId="15" fillId="31" borderId="76" xfId="51" applyFont="1" applyFill="1" applyBorder="1" applyAlignment="1">
      <alignment horizontal="left" vertical="center"/>
    </xf>
    <xf numFmtId="0" fontId="124" fillId="31" borderId="76" xfId="51" applyFont="1" applyFill="1" applyBorder="1" applyAlignment="1">
      <alignment vertical="center"/>
    </xf>
    <xf numFmtId="0" fontId="15" fillId="31" borderId="77" xfId="51" applyFont="1" applyFill="1" applyBorder="1" applyAlignment="1">
      <alignment vertical="center"/>
    </xf>
    <xf numFmtId="0" fontId="1" fillId="25" borderId="23" xfId="51" applyFill="1" applyBorder="1" applyAlignment="1">
      <alignment vertical="center"/>
    </xf>
    <xf numFmtId="0" fontId="50" fillId="25" borderId="0" xfId="51" applyFont="1" applyFill="1" applyAlignment="1">
      <alignment vertical="center"/>
    </xf>
    <xf numFmtId="0" fontId="13" fillId="25" borderId="0" xfId="51" applyFont="1" applyFill="1" applyAlignment="1">
      <alignment horizontal="left" vertical="center"/>
    </xf>
    <xf numFmtId="0" fontId="13" fillId="25" borderId="0" xfId="51" applyFont="1" applyFill="1" applyAlignment="1">
      <alignment vertical="center"/>
    </xf>
    <xf numFmtId="0" fontId="1" fillId="25" borderId="0" xfId="51" applyFill="1" applyAlignment="1">
      <alignment vertical="center"/>
    </xf>
    <xf numFmtId="0" fontId="15" fillId="25" borderId="0" xfId="51" applyFont="1" applyFill="1" applyAlignment="1">
      <alignment vertical="center"/>
    </xf>
    <xf numFmtId="0" fontId="13" fillId="25" borderId="20" xfId="51" applyFont="1" applyFill="1" applyBorder="1" applyAlignment="1">
      <alignment vertical="center"/>
    </xf>
    <xf numFmtId="0" fontId="5" fillId="25" borderId="23" xfId="51" applyFont="1" applyFill="1" applyBorder="1" applyAlignment="1">
      <alignment vertical="center"/>
    </xf>
    <xf numFmtId="0" fontId="13" fillId="25" borderId="20" xfId="51" applyFont="1" applyFill="1" applyBorder="1" applyAlignment="1">
      <alignment horizontal="right" vertical="center"/>
    </xf>
    <xf numFmtId="0" fontId="27" fillId="25" borderId="0" xfId="51" applyFont="1" applyFill="1" applyAlignment="1">
      <alignment vertical="center"/>
    </xf>
    <xf numFmtId="0" fontId="13" fillId="25" borderId="0" xfId="51" applyFont="1" applyFill="1" applyAlignment="1">
      <alignment horizontal="center" vertical="center"/>
    </xf>
    <xf numFmtId="180" fontId="13" fillId="25" borderId="0" xfId="51" applyNumberFormat="1" applyFont="1" applyFill="1" applyAlignment="1">
      <alignment horizontal="center" vertical="center"/>
    </xf>
    <xf numFmtId="0" fontId="13" fillId="25" borderId="0" xfId="51" applyFont="1" applyFill="1" applyAlignment="1">
      <alignment horizontal="right" vertical="center"/>
    </xf>
    <xf numFmtId="0" fontId="1" fillId="0" borderId="0" xfId="51" applyAlignment="1" applyProtection="1">
      <alignment vertical="center"/>
      <protection hidden="1"/>
    </xf>
    <xf numFmtId="0" fontId="13" fillId="25" borderId="66" xfId="51" applyFont="1" applyFill="1" applyBorder="1" applyAlignment="1">
      <alignment vertical="center"/>
    </xf>
    <xf numFmtId="0" fontId="13" fillId="25" borderId="67" xfId="51" applyFont="1" applyFill="1" applyBorder="1" applyAlignment="1">
      <alignment horizontal="left" vertical="center"/>
    </xf>
    <xf numFmtId="0" fontId="13" fillId="25" borderId="67" xfId="51" applyFont="1" applyFill="1" applyBorder="1" applyAlignment="1">
      <alignment vertical="center"/>
    </xf>
    <xf numFmtId="0" fontId="3" fillId="43" borderId="10" xfId="51" applyFont="1" applyFill="1" applyBorder="1" applyAlignment="1">
      <alignment horizontal="center" vertical="center"/>
    </xf>
    <xf numFmtId="0" fontId="13" fillId="26" borderId="10" xfId="51" applyFont="1" applyFill="1" applyBorder="1" applyAlignment="1">
      <alignment horizontal="center" vertical="center"/>
    </xf>
    <xf numFmtId="0" fontId="13" fillId="26" borderId="48" xfId="51" applyFont="1" applyFill="1" applyBorder="1" applyAlignment="1">
      <alignment horizontal="center" vertical="center"/>
    </xf>
    <xf numFmtId="180" fontId="13" fillId="26" borderId="98" xfId="51" applyNumberFormat="1" applyFont="1" applyFill="1" applyBorder="1" applyAlignment="1">
      <alignment horizontal="center" vertical="center"/>
    </xf>
    <xf numFmtId="0" fontId="13" fillId="26" borderId="167" xfId="51" applyFont="1" applyFill="1" applyBorder="1" applyAlignment="1">
      <alignment vertical="center"/>
    </xf>
    <xf numFmtId="0" fontId="13" fillId="25" borderId="11" xfId="51" applyFont="1" applyFill="1" applyBorder="1" applyAlignment="1">
      <alignment vertical="center"/>
    </xf>
    <xf numFmtId="0" fontId="13" fillId="25" borderId="66" xfId="51" applyFont="1" applyFill="1" applyBorder="1" applyAlignment="1">
      <alignment horizontal="left" vertical="center"/>
    </xf>
    <xf numFmtId="176" fontId="13" fillId="25" borderId="119" xfId="51" applyNumberFormat="1" applyFont="1" applyFill="1" applyBorder="1" applyAlignment="1">
      <alignment horizontal="center" vertical="center"/>
    </xf>
    <xf numFmtId="0" fontId="13" fillId="25" borderId="11" xfId="51" applyFont="1" applyFill="1" applyBorder="1" applyAlignment="1">
      <alignment horizontal="left" vertical="center"/>
    </xf>
    <xf numFmtId="0" fontId="13" fillId="25" borderId="16" xfId="51" applyFont="1" applyFill="1" applyBorder="1" applyAlignment="1">
      <alignment horizontal="right" vertical="center"/>
    </xf>
    <xf numFmtId="0" fontId="13" fillId="25" borderId="69" xfId="51" applyFont="1" applyFill="1" applyBorder="1" applyAlignment="1">
      <alignment horizontal="left" vertical="center"/>
    </xf>
    <xf numFmtId="0" fontId="13" fillId="25" borderId="51" xfId="51" applyFont="1" applyFill="1" applyBorder="1" applyAlignment="1">
      <alignment horizontal="right" vertical="center"/>
    </xf>
    <xf numFmtId="0" fontId="13" fillId="25" borderId="48" xfId="51" applyFont="1" applyFill="1" applyBorder="1" applyAlignment="1">
      <alignment horizontal="left" vertical="center"/>
    </xf>
    <xf numFmtId="0" fontId="13" fillId="25" borderId="39" xfId="51" applyFont="1" applyFill="1" applyBorder="1" applyAlignment="1">
      <alignment vertical="center"/>
    </xf>
    <xf numFmtId="176" fontId="13" fillId="25" borderId="87" xfId="51" applyNumberFormat="1" applyFont="1" applyFill="1" applyBorder="1" applyAlignment="1">
      <alignment horizontal="center" vertical="center"/>
    </xf>
    <xf numFmtId="176" fontId="13" fillId="25" borderId="38" xfId="51" applyNumberFormat="1" applyFont="1" applyFill="1" applyBorder="1" applyAlignment="1">
      <alignment horizontal="center" vertical="center"/>
    </xf>
    <xf numFmtId="0" fontId="13" fillId="25" borderId="84" xfId="51" applyFont="1" applyFill="1" applyBorder="1" applyAlignment="1">
      <alignment vertical="center"/>
    </xf>
    <xf numFmtId="0" fontId="13" fillId="25" borderId="69" xfId="51" applyFont="1" applyFill="1" applyBorder="1" applyAlignment="1">
      <alignment vertical="center"/>
    </xf>
    <xf numFmtId="176" fontId="13" fillId="25" borderId="126" xfId="51" applyNumberFormat="1" applyFont="1" applyFill="1" applyBorder="1" applyAlignment="1">
      <alignment horizontal="center" vertical="center"/>
    </xf>
    <xf numFmtId="176" fontId="13" fillId="25" borderId="109" xfId="51" applyNumberFormat="1" applyFont="1" applyFill="1" applyBorder="1" applyAlignment="1">
      <alignment horizontal="center" vertical="center"/>
    </xf>
    <xf numFmtId="0" fontId="13" fillId="25" borderId="81" xfId="51" applyFont="1" applyFill="1" applyBorder="1" applyAlignment="1">
      <alignment vertical="center"/>
    </xf>
    <xf numFmtId="176" fontId="13" fillId="25" borderId="0" xfId="51" applyNumberFormat="1" applyFont="1" applyFill="1" applyAlignment="1">
      <alignment vertical="center"/>
    </xf>
    <xf numFmtId="176" fontId="13" fillId="25" borderId="41" xfId="51" applyNumberFormat="1" applyFont="1" applyFill="1" applyBorder="1" applyAlignment="1">
      <alignment horizontal="center" vertical="center"/>
    </xf>
    <xf numFmtId="176" fontId="13" fillId="25" borderId="0" xfId="51" applyNumberFormat="1" applyFont="1" applyFill="1" applyAlignment="1">
      <alignment horizontal="left" vertical="center"/>
    </xf>
    <xf numFmtId="0" fontId="33" fillId="25" borderId="0" xfId="51" applyFont="1" applyFill="1" applyAlignment="1">
      <alignment vertical="center"/>
    </xf>
    <xf numFmtId="40" fontId="13" fillId="25" borderId="10" xfId="48" applyNumberFormat="1" applyFont="1" applyFill="1" applyBorder="1" applyAlignment="1" applyProtection="1">
      <alignment horizontal="right" vertical="center"/>
    </xf>
    <xf numFmtId="0" fontId="13" fillId="26" borderId="167" xfId="51" applyFont="1" applyFill="1" applyBorder="1" applyAlignment="1">
      <alignment horizontal="center" vertical="center"/>
    </xf>
    <xf numFmtId="38" fontId="1" fillId="25" borderId="10" xfId="48" applyFont="1" applyFill="1" applyBorder="1" applyAlignment="1" applyProtection="1">
      <alignment vertical="center"/>
    </xf>
    <xf numFmtId="176" fontId="13" fillId="25" borderId="163" xfId="51" applyNumberFormat="1" applyFont="1" applyFill="1" applyBorder="1" applyAlignment="1">
      <alignment horizontal="center" vertical="center"/>
    </xf>
    <xf numFmtId="38" fontId="1" fillId="25" borderId="165" xfId="48" applyFont="1" applyFill="1" applyBorder="1" applyAlignment="1" applyProtection="1">
      <alignment horizontal="center" vertical="center"/>
    </xf>
    <xf numFmtId="0" fontId="13" fillId="45" borderId="0" xfId="51" applyFont="1" applyFill="1" applyAlignment="1">
      <alignment horizontal="right"/>
    </xf>
    <xf numFmtId="176" fontId="13" fillId="45" borderId="0" xfId="51" applyNumberFormat="1" applyFont="1" applyFill="1" applyAlignment="1">
      <alignment horizontal="left" vertical="center"/>
    </xf>
    <xf numFmtId="0" fontId="13" fillId="45" borderId="0" xfId="51" applyFont="1" applyFill="1" applyAlignment="1">
      <alignment horizontal="left"/>
    </xf>
    <xf numFmtId="0" fontId="13" fillId="45" borderId="0" xfId="51" applyFont="1" applyFill="1" applyAlignment="1" applyProtection="1">
      <alignment horizontal="right"/>
      <protection hidden="1"/>
    </xf>
    <xf numFmtId="0" fontId="13" fillId="45" borderId="0" xfId="51" applyFont="1" applyFill="1" applyAlignment="1">
      <alignment horizontal="right" vertical="center"/>
    </xf>
    <xf numFmtId="38" fontId="13" fillId="25" borderId="10" xfId="51" applyNumberFormat="1" applyFont="1" applyFill="1" applyBorder="1" applyAlignment="1">
      <alignment vertical="center"/>
    </xf>
    <xf numFmtId="38" fontId="13" fillId="25" borderId="10" xfId="48" applyFont="1" applyFill="1" applyBorder="1">
      <alignment vertical="center"/>
    </xf>
    <xf numFmtId="38" fontId="13" fillId="45" borderId="10" xfId="48" applyFont="1" applyFill="1" applyBorder="1" applyAlignment="1" applyProtection="1">
      <alignment vertical="center"/>
    </xf>
    <xf numFmtId="0" fontId="3" fillId="45" borderId="0" xfId="51" applyFont="1" applyFill="1" applyAlignment="1">
      <alignment vertical="center"/>
    </xf>
    <xf numFmtId="178" fontId="13" fillId="25" borderId="20" xfId="51" applyNumberFormat="1" applyFont="1" applyFill="1" applyBorder="1" applyAlignment="1">
      <alignment horizontal="right" vertical="center"/>
    </xf>
    <xf numFmtId="0" fontId="33" fillId="45" borderId="0" xfId="51" applyFont="1" applyFill="1" applyAlignment="1">
      <alignment vertical="center"/>
    </xf>
    <xf numFmtId="0" fontId="13" fillId="45" borderId="10" xfId="51" applyFont="1" applyFill="1" applyBorder="1" applyAlignment="1">
      <alignment vertical="center"/>
    </xf>
    <xf numFmtId="178" fontId="13" fillId="25" borderId="0" xfId="51" applyNumberFormat="1" applyFont="1" applyFill="1" applyAlignment="1">
      <alignment horizontal="right" vertical="center"/>
    </xf>
    <xf numFmtId="176" fontId="13" fillId="25" borderId="10" xfId="51" applyNumberFormat="1" applyFont="1" applyFill="1" applyBorder="1" applyAlignment="1">
      <alignment horizontal="center" vertical="center"/>
    </xf>
    <xf numFmtId="38" fontId="13" fillId="25" borderId="10" xfId="48" applyFont="1" applyFill="1" applyBorder="1" applyAlignment="1" applyProtection="1">
      <alignment horizontal="center" vertical="center"/>
    </xf>
    <xf numFmtId="38" fontId="13" fillId="25" borderId="162" xfId="48" applyFont="1" applyFill="1" applyBorder="1" applyAlignment="1" applyProtection="1">
      <alignment vertical="center"/>
    </xf>
    <xf numFmtId="176" fontId="13" fillId="25" borderId="0" xfId="51" applyNumberFormat="1" applyFont="1" applyFill="1" applyAlignment="1">
      <alignment horizontal="center" vertical="center"/>
    </xf>
    <xf numFmtId="0" fontId="33" fillId="25" borderId="23" xfId="51" applyFont="1" applyFill="1" applyBorder="1" applyAlignment="1">
      <alignment vertical="center"/>
    </xf>
    <xf numFmtId="0" fontId="13" fillId="25" borderId="94" xfId="51" applyFont="1" applyFill="1" applyBorder="1" applyAlignment="1">
      <alignment horizontal="right" vertical="center"/>
    </xf>
    <xf numFmtId="0" fontId="13" fillId="37" borderId="0" xfId="51" applyFont="1" applyFill="1" applyAlignment="1">
      <alignment vertical="center"/>
    </xf>
    <xf numFmtId="0" fontId="13" fillId="25" borderId="21" xfId="51" applyFont="1" applyFill="1" applyBorder="1" applyAlignment="1">
      <alignment vertical="center"/>
    </xf>
    <xf numFmtId="0" fontId="13" fillId="25" borderId="10" xfId="51" applyFont="1" applyFill="1" applyBorder="1" applyAlignment="1">
      <alignment vertical="center"/>
    </xf>
    <xf numFmtId="0" fontId="3" fillId="25" borderId="0" xfId="51" applyFont="1" applyFill="1" applyAlignment="1">
      <alignment vertical="center"/>
    </xf>
    <xf numFmtId="180" fontId="13" fillId="25" borderId="0" xfId="51" applyNumberFormat="1" applyFont="1" applyFill="1" applyAlignment="1">
      <alignment horizontal="left" vertical="center"/>
    </xf>
    <xf numFmtId="0" fontId="50" fillId="25" borderId="0" xfId="51" applyFont="1" applyFill="1" applyAlignment="1">
      <alignment horizontal="left" vertical="center"/>
    </xf>
    <xf numFmtId="180" fontId="13" fillId="25" borderId="0" xfId="51" applyNumberFormat="1" applyFont="1" applyFill="1" applyAlignment="1">
      <alignment vertical="center"/>
    </xf>
    <xf numFmtId="0" fontId="27" fillId="25" borderId="0" xfId="51" applyFont="1" applyFill="1" applyAlignment="1">
      <alignment horizontal="right" vertical="center"/>
    </xf>
    <xf numFmtId="40" fontId="13" fillId="25" borderId="162" xfId="48" applyNumberFormat="1" applyFont="1" applyFill="1" applyBorder="1" applyAlignment="1" applyProtection="1">
      <alignment horizontal="right" vertical="center"/>
    </xf>
    <xf numFmtId="38" fontId="13" fillId="25" borderId="0" xfId="48" applyFont="1" applyFill="1" applyBorder="1" applyAlignment="1">
      <alignment horizontal="right" vertical="center"/>
    </xf>
    <xf numFmtId="0" fontId="13" fillId="26" borderId="17" xfId="51" applyFont="1" applyFill="1" applyBorder="1" applyAlignment="1">
      <alignment horizontal="center" vertical="center"/>
    </xf>
    <xf numFmtId="180" fontId="13" fillId="26" borderId="10" xfId="51" applyNumberFormat="1" applyFont="1" applyFill="1" applyBorder="1" applyAlignment="1">
      <alignment horizontal="center" vertical="center"/>
    </xf>
    <xf numFmtId="0" fontId="13" fillId="26" borderId="162" xfId="51" applyFont="1" applyFill="1" applyBorder="1" applyAlignment="1">
      <alignment horizontal="center" vertical="center"/>
    </xf>
    <xf numFmtId="0" fontId="13" fillId="25" borderId="0" xfId="51" applyFont="1" applyFill="1" applyAlignment="1" applyProtection="1">
      <alignment horizontal="left" vertical="center"/>
      <protection hidden="1"/>
    </xf>
    <xf numFmtId="9" fontId="13" fillId="25" borderId="10" xfId="51" applyNumberFormat="1" applyFont="1" applyFill="1" applyBorder="1" applyAlignment="1">
      <alignment horizontal="right" vertical="center"/>
    </xf>
    <xf numFmtId="177" fontId="13" fillId="25" borderId="48" xfId="51" applyNumberFormat="1" applyFont="1" applyFill="1" applyBorder="1" applyAlignment="1" applyProtection="1">
      <alignment horizontal="center" vertical="center"/>
      <protection hidden="1"/>
    </xf>
    <xf numFmtId="177" fontId="13" fillId="25" borderId="17" xfId="51" applyNumberFormat="1" applyFont="1" applyFill="1" applyBorder="1" applyAlignment="1" applyProtection="1">
      <alignment vertical="center"/>
      <protection hidden="1"/>
    </xf>
    <xf numFmtId="176" fontId="13" fillId="25" borderId="10" xfId="51" applyNumberFormat="1" applyFont="1" applyFill="1" applyBorder="1" applyAlignment="1" applyProtection="1">
      <alignment horizontal="center" vertical="center"/>
      <protection hidden="1"/>
    </xf>
    <xf numFmtId="9" fontId="13" fillId="25" borderId="10" xfId="47" applyFont="1" applyFill="1" applyBorder="1" applyAlignment="1">
      <alignment horizontal="center" vertical="center"/>
    </xf>
    <xf numFmtId="9" fontId="13" fillId="25" borderId="162" xfId="47" applyFont="1" applyFill="1" applyBorder="1" applyAlignment="1" applyProtection="1">
      <alignment horizontal="center" vertical="center"/>
      <protection hidden="1"/>
    </xf>
    <xf numFmtId="38" fontId="13" fillId="25" borderId="0" xfId="48" applyFont="1" applyFill="1" applyBorder="1" applyAlignment="1">
      <alignment horizontal="left" vertical="center"/>
    </xf>
    <xf numFmtId="38" fontId="13" fillId="25" borderId="0" xfId="48" applyFont="1" applyFill="1" applyBorder="1" applyAlignment="1" applyProtection="1">
      <alignment horizontal="right" vertical="center"/>
    </xf>
    <xf numFmtId="38" fontId="13" fillId="25" borderId="20" xfId="48" applyFont="1" applyFill="1" applyBorder="1" applyAlignment="1">
      <alignment horizontal="right" vertical="center"/>
    </xf>
    <xf numFmtId="4" fontId="13" fillId="25" borderId="10" xfId="48" applyNumberFormat="1" applyFont="1" applyFill="1" applyBorder="1" applyAlignment="1" applyProtection="1">
      <alignment horizontal="right" vertical="center"/>
    </xf>
    <xf numFmtId="4" fontId="13" fillId="25" borderId="162" xfId="48" applyNumberFormat="1" applyFont="1" applyFill="1" applyBorder="1" applyAlignment="1">
      <alignment horizontal="right" vertical="center"/>
    </xf>
    <xf numFmtId="177" fontId="13" fillId="25" borderId="0" xfId="51" applyNumberFormat="1" applyFont="1" applyFill="1" applyAlignment="1">
      <alignment horizontal="right" vertical="center"/>
    </xf>
    <xf numFmtId="187" fontId="13" fillId="25" borderId="10" xfId="47" applyNumberFormat="1" applyFont="1" applyFill="1" applyBorder="1" applyAlignment="1">
      <alignment horizontal="center" vertical="center"/>
    </xf>
    <xf numFmtId="40" fontId="13" fillId="25" borderId="0" xfId="48" applyNumberFormat="1" applyFont="1" applyFill="1" applyBorder="1" applyAlignment="1" applyProtection="1">
      <alignment horizontal="right" vertical="center"/>
    </xf>
    <xf numFmtId="199" fontId="13" fillId="0" borderId="0" xfId="51" applyNumberFormat="1" applyFont="1" applyAlignment="1">
      <alignment vertical="center"/>
    </xf>
    <xf numFmtId="199" fontId="1" fillId="25" borderId="23" xfId="51" applyNumberFormat="1" applyFill="1" applyBorder="1" applyAlignment="1">
      <alignment vertical="center"/>
    </xf>
    <xf numFmtId="199" fontId="13" fillId="25" borderId="0" xfId="51" applyNumberFormat="1" applyFont="1" applyFill="1" applyAlignment="1">
      <alignment vertical="center"/>
    </xf>
    <xf numFmtId="199" fontId="13" fillId="25" borderId="0" xfId="51" applyNumberFormat="1" applyFont="1" applyFill="1" applyAlignment="1">
      <alignment horizontal="left" vertical="center"/>
    </xf>
    <xf numFmtId="38" fontId="13" fillId="25" borderId="0" xfId="48" applyFont="1" applyFill="1" applyBorder="1" applyAlignment="1" applyProtection="1">
      <alignment vertical="center"/>
    </xf>
    <xf numFmtId="38" fontId="13" fillId="25" borderId="20" xfId="48" applyFont="1" applyFill="1" applyBorder="1" applyAlignment="1" applyProtection="1">
      <alignment horizontal="right" vertical="center"/>
    </xf>
    <xf numFmtId="216" fontId="13" fillId="25" borderId="0" xfId="48" applyNumberFormat="1" applyFont="1" applyFill="1" applyBorder="1" applyAlignment="1" applyProtection="1">
      <alignment horizontal="right" vertical="center"/>
    </xf>
    <xf numFmtId="0" fontId="13" fillId="26" borderId="135" xfId="51" applyFont="1" applyFill="1" applyBorder="1" applyAlignment="1">
      <alignment horizontal="center" vertical="center"/>
    </xf>
    <xf numFmtId="177" fontId="13" fillId="25" borderId="0" xfId="51" applyNumberFormat="1" applyFont="1" applyFill="1" applyAlignment="1">
      <alignment vertical="center"/>
    </xf>
    <xf numFmtId="0" fontId="1" fillId="25" borderId="99" xfId="51" applyFill="1" applyBorder="1" applyAlignment="1">
      <alignment vertical="center"/>
    </xf>
    <xf numFmtId="180" fontId="13" fillId="25" borderId="19" xfId="51" applyNumberFormat="1" applyFont="1" applyFill="1" applyBorder="1" applyAlignment="1">
      <alignment horizontal="left" vertical="center"/>
    </xf>
    <xf numFmtId="177" fontId="13" fillId="25" borderId="19" xfId="51" applyNumberFormat="1" applyFont="1" applyFill="1" applyBorder="1" applyAlignment="1">
      <alignment vertical="center"/>
    </xf>
    <xf numFmtId="0" fontId="13" fillId="0" borderId="0" xfId="51" applyFont="1" applyAlignment="1" applyProtection="1">
      <alignment vertical="center"/>
      <protection hidden="1"/>
    </xf>
    <xf numFmtId="0" fontId="13" fillId="0" borderId="0" xfId="51" applyFont="1" applyAlignment="1" applyProtection="1">
      <alignment horizontal="left" vertical="center"/>
      <protection hidden="1"/>
    </xf>
    <xf numFmtId="180" fontId="13" fillId="0" borderId="0" xfId="51" applyNumberFormat="1" applyFont="1" applyAlignment="1" applyProtection="1">
      <alignment horizontal="left" vertical="center"/>
      <protection hidden="1"/>
    </xf>
    <xf numFmtId="0" fontId="35" fillId="0" borderId="0" xfId="51" applyFont="1"/>
    <xf numFmtId="0" fontId="1" fillId="0" borderId="0" xfId="51"/>
    <xf numFmtId="0" fontId="5" fillId="0" borderId="0" xfId="51" applyFont="1"/>
    <xf numFmtId="0" fontId="5" fillId="0" borderId="0" xfId="51" applyFont="1" applyAlignment="1">
      <alignment vertical="center"/>
    </xf>
    <xf numFmtId="0" fontId="1" fillId="26" borderId="48" xfId="51" applyFill="1" applyBorder="1" applyAlignment="1">
      <alignment horizontal="left"/>
    </xf>
    <xf numFmtId="0" fontId="1" fillId="26" borderId="39" xfId="51" applyFill="1" applyBorder="1" applyAlignment="1">
      <alignment horizontal="center"/>
    </xf>
    <xf numFmtId="0" fontId="1" fillId="26" borderId="39" xfId="51" applyFill="1" applyBorder="1" applyAlignment="1">
      <alignment horizontal="left"/>
    </xf>
    <xf numFmtId="0" fontId="1" fillId="26" borderId="17" xfId="51" applyFill="1" applyBorder="1"/>
    <xf numFmtId="0" fontId="1" fillId="0" borderId="0" xfId="51" applyAlignment="1">
      <alignment horizontal="left"/>
    </xf>
    <xf numFmtId="0" fontId="1" fillId="26" borderId="48" xfId="51" applyFill="1" applyBorder="1" applyAlignment="1" applyProtection="1">
      <alignment horizontal="left" vertical="center"/>
      <protection hidden="1"/>
    </xf>
    <xf numFmtId="0" fontId="1" fillId="26" borderId="17" xfId="51" applyFill="1" applyBorder="1" applyAlignment="1">
      <alignment horizontal="left"/>
    </xf>
    <xf numFmtId="0" fontId="1" fillId="26" borderId="10" xfId="51" applyFill="1" applyBorder="1" applyAlignment="1">
      <alignment horizontal="center"/>
    </xf>
    <xf numFmtId="177" fontId="1" fillId="0" borderId="0" xfId="51" applyNumberFormat="1"/>
    <xf numFmtId="0" fontId="1" fillId="0" borderId="21" xfId="51" applyBorder="1"/>
    <xf numFmtId="0" fontId="1" fillId="0" borderId="67" xfId="51" applyBorder="1"/>
    <xf numFmtId="0" fontId="13" fillId="41" borderId="0" xfId="51" applyFont="1" applyFill="1"/>
    <xf numFmtId="0" fontId="195" fillId="0" borderId="0" xfId="51" applyFont="1"/>
    <xf numFmtId="0" fontId="13" fillId="42" borderId="48" xfId="51" applyFont="1" applyFill="1" applyBorder="1"/>
    <xf numFmtId="0" fontId="13" fillId="42" borderId="17" xfId="51" applyFont="1" applyFill="1" applyBorder="1"/>
    <xf numFmtId="0" fontId="13" fillId="41" borderId="10" xfId="51" applyFont="1" applyFill="1" applyBorder="1"/>
    <xf numFmtId="0" fontId="0" fillId="0" borderId="0" xfId="51" applyFont="1"/>
    <xf numFmtId="0" fontId="1" fillId="0" borderId="10" xfId="51" applyBorder="1"/>
    <xf numFmtId="0" fontId="13" fillId="0" borderId="0" xfId="51" applyFont="1"/>
    <xf numFmtId="0" fontId="13" fillId="0" borderId="0" xfId="51" applyFont="1" applyAlignment="1">
      <alignment horizontal="right"/>
    </xf>
    <xf numFmtId="0" fontId="13" fillId="0" borderId="66" xfId="51" applyFont="1" applyBorder="1"/>
    <xf numFmtId="0" fontId="13" fillId="0" borderId="67" xfId="51" applyFont="1" applyBorder="1"/>
    <xf numFmtId="0" fontId="13" fillId="0" borderId="67" xfId="51" applyFont="1" applyBorder="1" applyAlignment="1">
      <alignment horizontal="right"/>
    </xf>
    <xf numFmtId="0" fontId="13" fillId="0" borderId="67" xfId="51" applyFont="1" applyBorder="1" applyAlignment="1">
      <alignment horizontal="left"/>
    </xf>
    <xf numFmtId="0" fontId="27" fillId="0" borderId="0" xfId="51" applyFont="1" applyAlignment="1">
      <alignment vertical="center"/>
    </xf>
    <xf numFmtId="206" fontId="13" fillId="0" borderId="48" xfId="51" applyNumberFormat="1" applyFont="1" applyBorder="1"/>
    <xf numFmtId="0" fontId="13" fillId="0" borderId="11" xfId="51" applyFont="1" applyBorder="1"/>
    <xf numFmtId="0" fontId="3" fillId="0" borderId="0" xfId="51" applyFont="1"/>
    <xf numFmtId="0" fontId="13" fillId="0" borderId="16" xfId="51" applyFont="1" applyBorder="1"/>
    <xf numFmtId="0" fontId="13" fillId="0" borderId="21" xfId="51" applyFont="1" applyBorder="1"/>
    <xf numFmtId="0" fontId="13" fillId="0" borderId="51" xfId="51" applyFont="1" applyBorder="1"/>
    <xf numFmtId="206" fontId="13" fillId="0" borderId="0" xfId="51" applyNumberFormat="1" applyFont="1"/>
    <xf numFmtId="206" fontId="13" fillId="0" borderId="0" xfId="51" applyNumberFormat="1" applyFont="1" applyAlignment="1">
      <alignment horizontal="right"/>
    </xf>
    <xf numFmtId="0" fontId="3" fillId="0" borderId="0" xfId="51" applyFont="1" applyAlignment="1">
      <alignment horizontal="right"/>
    </xf>
    <xf numFmtId="206" fontId="13" fillId="0" borderId="10" xfId="51" applyNumberFormat="1" applyFont="1" applyBorder="1"/>
    <xf numFmtId="0" fontId="0" fillId="0" borderId="0" xfId="0" applyAlignment="1">
      <alignment horizontal="right" vertical="center"/>
    </xf>
    <xf numFmtId="0" fontId="196" fillId="0" borderId="0" xfId="0" applyFont="1">
      <alignment vertical="center"/>
    </xf>
    <xf numFmtId="0" fontId="0" fillId="0" borderId="40" xfId="0" applyBorder="1">
      <alignment vertical="center"/>
    </xf>
    <xf numFmtId="38" fontId="13" fillId="0" borderId="10" xfId="48" applyFont="1" applyBorder="1">
      <alignment vertical="center"/>
    </xf>
    <xf numFmtId="181" fontId="0" fillId="0" borderId="40" xfId="0" applyNumberFormat="1" applyBorder="1">
      <alignment vertical="center"/>
    </xf>
    <xf numFmtId="181" fontId="0" fillId="0" borderId="116" xfId="0" applyNumberFormat="1" applyBorder="1">
      <alignment vertical="center"/>
    </xf>
    <xf numFmtId="207" fontId="13" fillId="47" borderId="10" xfId="48" applyNumberFormat="1" applyFont="1" applyFill="1" applyBorder="1">
      <alignment vertical="center"/>
    </xf>
    <xf numFmtId="181" fontId="0" fillId="45" borderId="116" xfId="0" applyNumberFormat="1" applyFill="1" applyBorder="1">
      <alignment vertical="center"/>
    </xf>
    <xf numFmtId="0" fontId="13" fillId="0" borderId="116" xfId="0" applyFont="1" applyBorder="1" applyAlignment="1">
      <alignment vertical="center" shrinkToFit="1"/>
    </xf>
    <xf numFmtId="181" fontId="0" fillId="0" borderId="104" xfId="0" applyNumberFormat="1" applyBorder="1">
      <alignment vertical="center"/>
    </xf>
    <xf numFmtId="0" fontId="13" fillId="0" borderId="104" xfId="0" applyFont="1" applyBorder="1" applyAlignment="1">
      <alignment vertical="center" shrinkToFit="1"/>
    </xf>
    <xf numFmtId="0" fontId="1" fillId="26" borderId="0" xfId="51" applyFill="1" applyAlignment="1">
      <alignment horizontal="center"/>
    </xf>
    <xf numFmtId="0" fontId="13" fillId="0" borderId="0" xfId="51" applyFont="1" applyAlignment="1">
      <alignment horizontal="left"/>
    </xf>
    <xf numFmtId="0" fontId="1" fillId="25" borderId="0" xfId="51" applyFill="1" applyAlignment="1">
      <alignment horizontal="center"/>
    </xf>
    <xf numFmtId="38" fontId="1" fillId="0" borderId="10" xfId="48" applyFont="1" applyBorder="1" applyAlignment="1"/>
    <xf numFmtId="38" fontId="1" fillId="0" borderId="0" xfId="48" applyFont="1" applyBorder="1" applyAlignment="1"/>
    <xf numFmtId="0" fontId="1" fillId="25" borderId="48" xfId="51" applyFill="1" applyBorder="1" applyAlignment="1">
      <alignment horizontal="left"/>
    </xf>
    <xf numFmtId="38" fontId="1" fillId="25" borderId="39" xfId="48" applyFont="1" applyFill="1" applyBorder="1" applyAlignment="1"/>
    <xf numFmtId="38" fontId="1" fillId="25" borderId="17" xfId="48" applyFont="1" applyFill="1" applyBorder="1" applyAlignment="1"/>
    <xf numFmtId="0" fontId="13" fillId="0" borderId="0" xfId="51" applyFont="1" applyAlignment="1">
      <alignment horizontal="left" vertical="top"/>
    </xf>
    <xf numFmtId="0" fontId="1" fillId="36" borderId="10" xfId="51" applyFill="1" applyBorder="1" applyAlignment="1">
      <alignment horizontal="left" wrapText="1"/>
    </xf>
    <xf numFmtId="0" fontId="1" fillId="25" borderId="10" xfId="51" applyFill="1" applyBorder="1" applyAlignment="1">
      <alignment horizontal="center" vertical="center"/>
    </xf>
    <xf numFmtId="190" fontId="1" fillId="36" borderId="10" xfId="51" applyNumberFormat="1" applyFill="1" applyBorder="1" applyAlignment="1">
      <alignment horizontal="center"/>
    </xf>
    <xf numFmtId="0" fontId="1" fillId="0" borderId="10" xfId="48" applyNumberFormat="1" applyFont="1" applyBorder="1" applyAlignment="1"/>
    <xf numFmtId="0" fontId="5" fillId="25" borderId="0" xfId="51" applyFont="1" applyFill="1"/>
    <xf numFmtId="0" fontId="13" fillId="25" borderId="0" xfId="51" applyFont="1" applyFill="1"/>
    <xf numFmtId="0" fontId="13" fillId="25" borderId="0" xfId="51" applyFont="1" applyFill="1" applyAlignment="1">
      <alignment horizontal="right"/>
    </xf>
    <xf numFmtId="0" fontId="13" fillId="25" borderId="26" xfId="51" applyFont="1" applyFill="1" applyBorder="1"/>
    <xf numFmtId="0" fontId="13" fillId="25" borderId="50" xfId="51" applyFont="1" applyFill="1" applyBorder="1"/>
    <xf numFmtId="0" fontId="13" fillId="25" borderId="119" xfId="51" applyFont="1" applyFill="1" applyBorder="1" applyAlignment="1">
      <alignment horizontal="right"/>
    </xf>
    <xf numFmtId="0" fontId="3" fillId="25" borderId="0" xfId="51" applyFont="1" applyFill="1"/>
    <xf numFmtId="0" fontId="27" fillId="25" borderId="0" xfId="51" applyFont="1" applyFill="1"/>
    <xf numFmtId="0" fontId="13" fillId="25" borderId="48" xfId="51" applyFont="1" applyFill="1" applyBorder="1"/>
    <xf numFmtId="0" fontId="13" fillId="25" borderId="39" xfId="51" applyFont="1" applyFill="1" applyBorder="1"/>
    <xf numFmtId="0" fontId="13" fillId="25" borderId="40" xfId="51" applyFont="1" applyFill="1" applyBorder="1" applyAlignment="1">
      <alignment horizontal="center"/>
    </xf>
    <xf numFmtId="0" fontId="13" fillId="25" borderId="10" xfId="51" applyFont="1" applyFill="1" applyBorder="1" applyAlignment="1">
      <alignment horizontal="center" vertical="center"/>
    </xf>
    <xf numFmtId="217" fontId="13" fillId="24" borderId="41" xfId="51" applyNumberFormat="1" applyFont="1" applyFill="1" applyBorder="1" applyAlignment="1" applyProtection="1">
      <alignment horizontal="right"/>
      <protection locked="0"/>
    </xf>
    <xf numFmtId="217" fontId="13" fillId="24" borderId="17" xfId="51" applyNumberFormat="1" applyFont="1" applyFill="1" applyBorder="1" applyAlignment="1" applyProtection="1">
      <alignment horizontal="right"/>
      <protection locked="0"/>
    </xf>
    <xf numFmtId="0" fontId="13" fillId="25" borderId="48" xfId="51" applyFont="1" applyFill="1" applyBorder="1" applyAlignment="1">
      <alignment horizontal="right"/>
    </xf>
    <xf numFmtId="0" fontId="194" fillId="0" borderId="0" xfId="0" applyFont="1">
      <alignment vertical="center"/>
    </xf>
    <xf numFmtId="0" fontId="13" fillId="25" borderId="67" xfId="51" applyFont="1" applyFill="1" applyBorder="1"/>
    <xf numFmtId="0" fontId="13" fillId="25" borderId="69" xfId="51" applyFont="1" applyFill="1" applyBorder="1"/>
    <xf numFmtId="0" fontId="13" fillId="25" borderId="22" xfId="51" applyFont="1" applyFill="1" applyBorder="1"/>
    <xf numFmtId="0" fontId="13" fillId="24" borderId="85" xfId="51" applyFont="1" applyFill="1" applyBorder="1" applyAlignment="1" applyProtection="1">
      <alignment horizontal="right"/>
      <protection locked="0"/>
    </xf>
    <xf numFmtId="0" fontId="13" fillId="24" borderId="51" xfId="51" applyFont="1" applyFill="1" applyBorder="1" applyAlignment="1" applyProtection="1">
      <alignment horizontal="right"/>
      <protection locked="0"/>
    </xf>
    <xf numFmtId="0" fontId="13" fillId="25" borderId="17" xfId="51" applyFont="1" applyFill="1" applyBorder="1"/>
    <xf numFmtId="0" fontId="13" fillId="24" borderId="41" xfId="51" applyFont="1" applyFill="1" applyBorder="1" applyAlignment="1" applyProtection="1">
      <alignment horizontal="right"/>
      <protection locked="0"/>
    </xf>
    <xf numFmtId="0" fontId="13" fillId="24" borderId="17" xfId="51" applyFont="1" applyFill="1" applyBorder="1" applyAlignment="1" applyProtection="1">
      <alignment horizontal="right"/>
      <protection locked="0"/>
    </xf>
    <xf numFmtId="218" fontId="0" fillId="0" borderId="0" xfId="0" applyNumberFormat="1">
      <alignment vertical="center"/>
    </xf>
    <xf numFmtId="0" fontId="1" fillId="47" borderId="0" xfId="51" applyFill="1"/>
    <xf numFmtId="0" fontId="0" fillId="47" borderId="10" xfId="0" applyFill="1" applyBorder="1">
      <alignment vertical="center"/>
    </xf>
    <xf numFmtId="0" fontId="0" fillId="47" borderId="48" xfId="0" applyFill="1" applyBorder="1">
      <alignment vertical="center"/>
    </xf>
    <xf numFmtId="38" fontId="13" fillId="0" borderId="10" xfId="0" applyNumberFormat="1" applyFont="1" applyBorder="1">
      <alignment vertical="center"/>
    </xf>
    <xf numFmtId="0" fontId="13" fillId="0" borderId="10" xfId="0" applyFont="1" applyBorder="1" applyAlignment="1">
      <alignment vertical="center" shrinkToFit="1"/>
    </xf>
    <xf numFmtId="38" fontId="27" fillId="0" borderId="10" xfId="48" applyFont="1" applyFill="1" applyBorder="1">
      <alignment vertical="center"/>
    </xf>
    <xf numFmtId="212" fontId="197" fillId="0" borderId="10" xfId="0" applyNumberFormat="1" applyFont="1" applyBorder="1">
      <alignment vertical="center"/>
    </xf>
    <xf numFmtId="1" fontId="197" fillId="0" borderId="10" xfId="0" applyNumberFormat="1" applyFont="1" applyBorder="1">
      <alignment vertical="center"/>
    </xf>
    <xf numFmtId="2" fontId="191" fillId="44" borderId="272" xfId="0" applyNumberFormat="1" applyFont="1" applyFill="1" applyBorder="1" applyAlignment="1" applyProtection="1">
      <alignment horizontal="center" vertical="center"/>
      <protection locked="0"/>
    </xf>
    <xf numFmtId="0" fontId="191" fillId="44" borderId="273" xfId="0" applyFont="1" applyFill="1" applyBorder="1" applyAlignment="1" applyProtection="1">
      <alignment horizontal="center" vertical="center"/>
      <protection locked="0"/>
    </xf>
    <xf numFmtId="2" fontId="191" fillId="44" borderId="274" xfId="0" applyNumberFormat="1" applyFont="1" applyFill="1" applyBorder="1" applyAlignment="1" applyProtection="1">
      <alignment horizontal="center" vertical="center"/>
      <protection locked="0"/>
    </xf>
    <xf numFmtId="0" fontId="191" fillId="44" borderId="275" xfId="0" applyFont="1" applyFill="1" applyBorder="1" applyAlignment="1" applyProtection="1">
      <alignment horizontal="center" vertical="center"/>
      <protection locked="0"/>
    </xf>
    <xf numFmtId="2" fontId="191" fillId="44" borderId="276" xfId="0" applyNumberFormat="1" applyFont="1" applyFill="1" applyBorder="1" applyAlignment="1" applyProtection="1">
      <alignment horizontal="center" vertical="center"/>
      <protection locked="0"/>
    </xf>
    <xf numFmtId="0" fontId="191" fillId="44" borderId="277" xfId="0" applyFont="1" applyFill="1" applyBorder="1" applyAlignment="1" applyProtection="1">
      <alignment horizontal="center" vertical="center"/>
      <protection locked="0"/>
    </xf>
    <xf numFmtId="0" fontId="191" fillId="44" borderId="84" xfId="0" applyFont="1" applyFill="1" applyBorder="1" applyProtection="1">
      <alignment vertical="center"/>
      <protection locked="0"/>
    </xf>
    <xf numFmtId="0" fontId="191" fillId="44" borderId="266" xfId="0" applyFont="1" applyFill="1" applyBorder="1">
      <alignment vertical="center"/>
    </xf>
    <xf numFmtId="181" fontId="191" fillId="44" borderId="279" xfId="0" applyNumberFormat="1" applyFont="1" applyFill="1" applyBorder="1" applyProtection="1">
      <alignment vertical="center"/>
      <protection locked="0"/>
    </xf>
    <xf numFmtId="207" fontId="191" fillId="44" borderId="280" xfId="0" applyNumberFormat="1" applyFont="1" applyFill="1" applyBorder="1" applyProtection="1">
      <alignment vertical="center"/>
      <protection locked="0"/>
    </xf>
    <xf numFmtId="207" fontId="191" fillId="44" borderId="281" xfId="0" applyNumberFormat="1" applyFont="1" applyFill="1" applyBorder="1" applyProtection="1">
      <alignment vertical="center"/>
      <protection locked="0"/>
    </xf>
    <xf numFmtId="181" fontId="191" fillId="44" borderId="280" xfId="0" applyNumberFormat="1" applyFont="1" applyFill="1" applyBorder="1" applyProtection="1">
      <alignment vertical="center"/>
      <protection locked="0"/>
    </xf>
    <xf numFmtId="181" fontId="191" fillId="44" borderId="281" xfId="0" applyNumberFormat="1" applyFont="1" applyFill="1" applyBorder="1" applyProtection="1">
      <alignment vertical="center"/>
      <protection locked="0"/>
    </xf>
    <xf numFmtId="0" fontId="194" fillId="41" borderId="21" xfId="0" applyFont="1" applyFill="1" applyBorder="1">
      <alignment vertical="center"/>
    </xf>
    <xf numFmtId="38" fontId="191" fillId="0" borderId="10" xfId="0" applyNumberFormat="1" applyFont="1" applyBorder="1">
      <alignment vertical="center"/>
    </xf>
    <xf numFmtId="219" fontId="21" fillId="34" borderId="10" xfId="0" applyNumberFormat="1" applyFont="1" applyFill="1" applyBorder="1" applyProtection="1">
      <alignment vertical="center"/>
      <protection hidden="1"/>
    </xf>
    <xf numFmtId="213" fontId="191" fillId="55" borderId="304" xfId="0" applyNumberFormat="1" applyFont="1" applyFill="1" applyBorder="1">
      <alignment vertical="center"/>
    </xf>
    <xf numFmtId="0" fontId="179" fillId="55" borderId="306" xfId="0" applyFont="1" applyFill="1" applyBorder="1" applyAlignment="1">
      <alignment vertical="center" shrinkToFit="1"/>
    </xf>
    <xf numFmtId="215" fontId="0" fillId="0" borderId="10" xfId="0" applyNumberFormat="1" applyBorder="1">
      <alignment vertical="center"/>
    </xf>
    <xf numFmtId="199" fontId="199" fillId="0" borderId="289" xfId="0" applyNumberFormat="1" applyFont="1" applyBorder="1" applyAlignment="1">
      <alignment horizontal="center" vertical="top"/>
    </xf>
    <xf numFmtId="49" fontId="68" fillId="0" borderId="66" xfId="0" applyNumberFormat="1" applyFont="1" applyBorder="1" applyAlignment="1">
      <alignment horizontal="center" vertical="top" shrinkToFit="1"/>
    </xf>
    <xf numFmtId="3" fontId="0" fillId="45" borderId="48" xfId="0" applyNumberFormat="1" applyFill="1" applyBorder="1">
      <alignment vertical="center"/>
    </xf>
    <xf numFmtId="177" fontId="0" fillId="45" borderId="48" xfId="0" applyNumberFormat="1" applyFill="1" applyBorder="1" applyAlignment="1">
      <alignment horizontal="center" vertical="center"/>
    </xf>
    <xf numFmtId="0" fontId="0" fillId="0" borderId="17" xfId="0" applyBorder="1" applyAlignment="1">
      <alignment horizontal="center" vertical="center"/>
    </xf>
    <xf numFmtId="199" fontId="198" fillId="0" borderId="0" xfId="51" applyNumberFormat="1" applyFont="1" applyAlignment="1">
      <alignment vertical="center"/>
    </xf>
    <xf numFmtId="0" fontId="1" fillId="0" borderId="0" xfId="51" applyAlignment="1">
      <alignment horizontal="center"/>
    </xf>
    <xf numFmtId="0" fontId="27" fillId="41" borderId="0" xfId="51" applyFont="1" applyFill="1" applyAlignment="1">
      <alignment vertical="center"/>
    </xf>
    <xf numFmtId="0" fontId="13" fillId="0" borderId="48" xfId="0" applyFont="1" applyBorder="1" applyAlignment="1">
      <alignment horizontal="center" vertical="center"/>
    </xf>
    <xf numFmtId="0" fontId="13" fillId="0" borderId="10" xfId="0" applyFont="1" applyBorder="1" applyAlignment="1">
      <alignment horizontal="center" vertical="center"/>
    </xf>
    <xf numFmtId="0" fontId="13" fillId="0" borderId="116" xfId="0" applyFont="1" applyBorder="1" applyAlignment="1">
      <alignment horizontal="center" vertical="center"/>
    </xf>
    <xf numFmtId="0" fontId="13" fillId="0" borderId="104" xfId="0" applyFont="1" applyBorder="1" applyAlignment="1">
      <alignment horizontal="center" vertical="center"/>
    </xf>
    <xf numFmtId="0" fontId="13" fillId="0" borderId="66" xfId="0" applyFont="1" applyBorder="1" applyAlignment="1">
      <alignment horizontal="center" vertical="center"/>
    </xf>
    <xf numFmtId="0" fontId="13" fillId="0" borderId="40" xfId="0" applyFont="1" applyBorder="1" applyAlignment="1">
      <alignment horizontal="center" vertical="center"/>
    </xf>
    <xf numFmtId="0" fontId="13" fillId="0" borderId="69" xfId="0" applyFont="1" applyBorder="1" applyAlignment="1">
      <alignment horizontal="center" vertical="center"/>
    </xf>
    <xf numFmtId="0" fontId="13" fillId="0" borderId="94" xfId="0" applyFont="1" applyBorder="1" applyAlignment="1">
      <alignment horizontal="center" vertical="center"/>
    </xf>
    <xf numFmtId="0" fontId="13" fillId="0" borderId="16" xfId="0" applyFont="1" applyBorder="1" applyAlignment="1">
      <alignment horizontal="center" vertical="center"/>
    </xf>
    <xf numFmtId="0" fontId="200" fillId="0" borderId="41" xfId="0" applyFont="1" applyBorder="1">
      <alignment vertical="center"/>
    </xf>
    <xf numFmtId="215" fontId="194" fillId="47" borderId="0" xfId="0" applyNumberFormat="1" applyFont="1" applyFill="1">
      <alignment vertical="center"/>
    </xf>
    <xf numFmtId="0" fontId="194" fillId="0" borderId="10" xfId="0" applyFont="1" applyBorder="1">
      <alignment vertical="center"/>
    </xf>
    <xf numFmtId="2" fontId="194" fillId="0" borderId="10" xfId="0" applyNumberFormat="1" applyFont="1" applyBorder="1">
      <alignment vertical="center"/>
    </xf>
    <xf numFmtId="40" fontId="13" fillId="45" borderId="10" xfId="48" applyNumberFormat="1" applyFont="1" applyFill="1" applyBorder="1" applyAlignment="1">
      <alignment horizontal="right" vertical="center"/>
    </xf>
    <xf numFmtId="40" fontId="13" fillId="45" borderId="10" xfId="48" applyNumberFormat="1" applyFont="1" applyFill="1" applyBorder="1" applyAlignment="1" applyProtection="1">
      <alignment horizontal="right" vertical="center"/>
    </xf>
    <xf numFmtId="4" fontId="13" fillId="25" borderId="10" xfId="0" applyNumberFormat="1" applyFont="1" applyFill="1" applyBorder="1">
      <alignment vertical="center"/>
    </xf>
    <xf numFmtId="216" fontId="13" fillId="25" borderId="0" xfId="48" applyNumberFormat="1" applyFont="1" applyFill="1" applyBorder="1" applyAlignment="1" applyProtection="1">
      <alignment vertical="center"/>
    </xf>
    <xf numFmtId="0" fontId="201" fillId="0" borderId="0" xfId="0" applyFont="1" applyProtection="1">
      <alignment vertical="center"/>
      <protection hidden="1"/>
    </xf>
    <xf numFmtId="0" fontId="201" fillId="0" borderId="0" xfId="0" applyFont="1">
      <alignment vertical="center"/>
    </xf>
    <xf numFmtId="0" fontId="157" fillId="0" borderId="0" xfId="0" applyFont="1" applyAlignment="1" applyProtection="1">
      <alignment horizontal="right"/>
      <protection hidden="1"/>
    </xf>
    <xf numFmtId="208" fontId="3" fillId="0" borderId="0" xfId="0" applyNumberFormat="1" applyFont="1" applyAlignment="1">
      <alignment horizontal="right" vertical="center" indent="3"/>
    </xf>
    <xf numFmtId="220" fontId="75" fillId="0" borderId="0" xfId="0" applyNumberFormat="1" applyFont="1" applyProtection="1">
      <alignment vertical="center"/>
      <protection hidden="1"/>
    </xf>
    <xf numFmtId="208" fontId="75" fillId="0" borderId="0" xfId="0" applyNumberFormat="1" applyFont="1" applyProtection="1">
      <alignment vertical="center"/>
      <protection hidden="1"/>
    </xf>
    <xf numFmtId="220" fontId="3" fillId="0" borderId="0" xfId="0" applyNumberFormat="1" applyFont="1" applyAlignment="1">
      <alignment horizontal="left" vertical="center"/>
    </xf>
    <xf numFmtId="181" fontId="3" fillId="0" borderId="0" xfId="0" applyNumberFormat="1" applyFont="1" applyAlignment="1">
      <alignment horizontal="left" vertical="center"/>
    </xf>
    <xf numFmtId="221" fontId="3" fillId="0" borderId="0" xfId="0" applyNumberFormat="1" applyFont="1" applyAlignment="1">
      <alignment horizontal="left" vertical="center"/>
    </xf>
    <xf numFmtId="0" fontId="4" fillId="0" borderId="0" xfId="0" applyFont="1" applyAlignment="1">
      <alignment horizontal="right" vertical="center"/>
    </xf>
    <xf numFmtId="187" fontId="157" fillId="47" borderId="10" xfId="0" applyNumberFormat="1" applyFont="1" applyFill="1" applyBorder="1" applyAlignment="1">
      <alignment horizontal="right" vertical="center"/>
    </xf>
    <xf numFmtId="3" fontId="157" fillId="0" borderId="10" xfId="0" applyNumberFormat="1" applyFont="1" applyBorder="1" applyAlignment="1">
      <alignment horizontal="right" vertical="center"/>
    </xf>
    <xf numFmtId="0" fontId="3" fillId="47" borderId="10" xfId="0" applyFont="1" applyFill="1" applyBorder="1" applyAlignment="1">
      <alignment horizontal="right" vertical="center"/>
    </xf>
    <xf numFmtId="0" fontId="3" fillId="45" borderId="17" xfId="0" applyFont="1" applyFill="1" applyBorder="1">
      <alignment vertical="center"/>
    </xf>
    <xf numFmtId="0" fontId="3" fillId="44" borderId="39" xfId="0" applyFont="1" applyFill="1" applyBorder="1" applyAlignment="1" applyProtection="1">
      <alignment horizontal="left" vertical="center"/>
      <protection locked="0"/>
    </xf>
    <xf numFmtId="0" fontId="3" fillId="25" borderId="324" xfId="0" applyFont="1" applyFill="1" applyBorder="1" applyAlignment="1" applyProtection="1">
      <alignment horizontal="center" vertical="center" wrapText="1"/>
      <protection hidden="1"/>
    </xf>
    <xf numFmtId="0" fontId="3" fillId="25" borderId="326" xfId="0" applyFont="1" applyFill="1" applyBorder="1" applyAlignment="1" applyProtection="1">
      <alignment horizontal="center" vertical="center" wrapText="1"/>
      <protection hidden="1"/>
    </xf>
    <xf numFmtId="205" fontId="10" fillId="73" borderId="41" xfId="0" applyNumberFormat="1" applyFont="1" applyFill="1" applyBorder="1" applyAlignment="1" applyProtection="1">
      <alignment horizontal="center" vertical="center"/>
      <protection hidden="1"/>
    </xf>
    <xf numFmtId="213" fontId="194" fillId="55" borderId="294" xfId="0" applyNumberFormat="1" applyFont="1" applyFill="1" applyBorder="1">
      <alignment vertical="center"/>
    </xf>
    <xf numFmtId="0" fontId="38" fillId="0" borderId="11" xfId="0" applyFont="1" applyBorder="1" applyAlignment="1" applyProtection="1">
      <alignment horizontal="center" vertical="center" wrapText="1"/>
      <protection locked="0"/>
    </xf>
    <xf numFmtId="0" fontId="38" fillId="0" borderId="293" xfId="0" applyFont="1" applyBorder="1" applyAlignment="1" applyProtection="1">
      <alignment horizontal="center" vertical="center" wrapText="1"/>
      <protection locked="0"/>
    </xf>
    <xf numFmtId="0" fontId="38" fillId="0" borderId="190" xfId="0" applyFont="1" applyBorder="1" applyAlignment="1" applyProtection="1">
      <alignment horizontal="center" vertical="center" wrapText="1"/>
      <protection locked="0"/>
    </xf>
    <xf numFmtId="0" fontId="38" fillId="0" borderId="116" xfId="0" applyFont="1" applyBorder="1" applyAlignment="1">
      <alignment horizontal="center" vertical="center" wrapText="1"/>
    </xf>
    <xf numFmtId="179" fontId="3" fillId="25" borderId="110" xfId="0" applyNumberFormat="1" applyFont="1" applyFill="1" applyBorder="1" applyAlignment="1" applyProtection="1">
      <alignment horizontal="left" vertical="center"/>
      <protection hidden="1"/>
    </xf>
    <xf numFmtId="0" fontId="169" fillId="44" borderId="41" xfId="0" applyFont="1" applyFill="1" applyBorder="1" applyAlignment="1" applyProtection="1">
      <alignment horizontal="center" vertical="center"/>
      <protection locked="0"/>
    </xf>
    <xf numFmtId="178" fontId="3" fillId="25" borderId="133" xfId="0" applyNumberFormat="1" applyFont="1" applyFill="1" applyBorder="1" applyAlignment="1">
      <alignment horizontal="left" vertical="center" wrapText="1"/>
    </xf>
    <xf numFmtId="0" fontId="70" fillId="25" borderId="174" xfId="29" applyFill="1" applyBorder="1" applyAlignment="1" applyProtection="1">
      <alignment vertical="center"/>
      <protection hidden="1"/>
    </xf>
    <xf numFmtId="0" fontId="70" fillId="25" borderId="155" xfId="29" applyFill="1" applyBorder="1" applyAlignment="1" applyProtection="1">
      <alignment horizontal="left" vertical="center" indent="1"/>
      <protection hidden="1"/>
    </xf>
    <xf numFmtId="0" fontId="70" fillId="25" borderId="108" xfId="29" applyFill="1" applyBorder="1" applyAlignment="1" applyProtection="1">
      <alignment vertical="center"/>
      <protection hidden="1"/>
    </xf>
    <xf numFmtId="0" fontId="3" fillId="45" borderId="48" xfId="0" applyFont="1" applyFill="1" applyBorder="1">
      <alignment vertical="center"/>
    </xf>
    <xf numFmtId="0" fontId="3" fillId="45" borderId="329" xfId="0" applyFont="1" applyFill="1" applyBorder="1">
      <alignment vertical="center"/>
    </xf>
    <xf numFmtId="0" fontId="194" fillId="0" borderId="316" xfId="0" applyFont="1" applyBorder="1" applyAlignment="1">
      <alignment horizontal="center" vertical="center"/>
    </xf>
    <xf numFmtId="3" fontId="13" fillId="0" borderId="20" xfId="0" applyNumberFormat="1" applyFont="1" applyBorder="1" applyAlignment="1" applyProtection="1">
      <alignment horizontal="left" vertical="center" wrapText="1"/>
      <protection hidden="1"/>
    </xf>
    <xf numFmtId="0" fontId="198" fillId="25" borderId="67" xfId="0" applyFont="1" applyFill="1" applyBorder="1" applyProtection="1">
      <alignment vertical="center"/>
      <protection hidden="1"/>
    </xf>
    <xf numFmtId="0" fontId="198" fillId="25" borderId="39" xfId="0" applyFont="1" applyFill="1" applyBorder="1" applyProtection="1">
      <alignment vertical="center"/>
      <protection hidden="1"/>
    </xf>
    <xf numFmtId="0" fontId="198" fillId="25" borderId="0" xfId="0" applyFont="1" applyFill="1" applyProtection="1">
      <alignment vertical="center"/>
      <protection hidden="1"/>
    </xf>
    <xf numFmtId="0" fontId="79" fillId="25" borderId="104" xfId="29" applyFont="1" applyFill="1" applyBorder="1" applyAlignment="1" applyProtection="1">
      <alignment horizontal="center" vertical="center"/>
      <protection hidden="1"/>
    </xf>
    <xf numFmtId="0" fontId="150" fillId="25" borderId="0" xfId="0" applyFont="1" applyFill="1">
      <alignment vertical="center"/>
    </xf>
    <xf numFmtId="0" fontId="150" fillId="25" borderId="30" xfId="0" applyFont="1" applyFill="1" applyBorder="1" applyProtection="1">
      <alignment vertical="center"/>
      <protection hidden="1"/>
    </xf>
    <xf numFmtId="0" fontId="0" fillId="35" borderId="48" xfId="0" applyFill="1" applyBorder="1" applyAlignment="1" applyProtection="1">
      <alignment horizontal="centerContinuous" vertical="center"/>
      <protection hidden="1"/>
    </xf>
    <xf numFmtId="0" fontId="0" fillId="35" borderId="39" xfId="0" applyFill="1" applyBorder="1" applyAlignment="1" applyProtection="1">
      <alignment horizontal="centerContinuous" vertical="center"/>
      <protection hidden="1"/>
    </xf>
    <xf numFmtId="0" fontId="0" fillId="35" borderId="10" xfId="0" applyFill="1" applyBorder="1" applyAlignment="1" applyProtection="1">
      <alignment horizontal="center" vertical="center"/>
      <protection hidden="1"/>
    </xf>
    <xf numFmtId="0" fontId="0" fillId="35" borderId="69" xfId="0" applyFill="1" applyBorder="1" applyAlignment="1" applyProtection="1">
      <alignment horizontal="center" vertical="center"/>
      <protection hidden="1"/>
    </xf>
    <xf numFmtId="193" fontId="0" fillId="35" borderId="10" xfId="35" applyNumberFormat="1" applyFont="1" applyFill="1" applyBorder="1" applyAlignment="1" applyProtection="1">
      <alignment horizontal="center" vertical="top"/>
      <protection hidden="1"/>
    </xf>
    <xf numFmtId="0" fontId="194" fillId="25" borderId="0" xfId="0" applyFont="1" applyFill="1" applyProtection="1">
      <alignment vertical="center"/>
      <protection hidden="1"/>
    </xf>
    <xf numFmtId="3" fontId="13" fillId="0" borderId="0" xfId="0" applyNumberFormat="1" applyFont="1" applyAlignment="1" applyProtection="1">
      <alignment horizontal="left" vertical="center" wrapText="1"/>
      <protection hidden="1"/>
    </xf>
    <xf numFmtId="0" fontId="13" fillId="0" borderId="330" xfId="0" applyFont="1" applyBorder="1" applyAlignment="1" applyProtection="1">
      <alignment horizontal="left" vertical="center"/>
      <protection hidden="1"/>
    </xf>
    <xf numFmtId="0" fontId="112" fillId="0" borderId="0" xfId="0" applyFont="1" applyProtection="1">
      <alignment vertical="center"/>
      <protection hidden="1"/>
    </xf>
    <xf numFmtId="0" fontId="2" fillId="0" borderId="0" xfId="0" applyFont="1" applyAlignment="1" applyProtection="1">
      <alignment horizontal="left" vertical="center" wrapText="1"/>
      <protection hidden="1"/>
    </xf>
    <xf numFmtId="3" fontId="13" fillId="0" borderId="330" xfId="0" applyNumberFormat="1" applyFont="1" applyBorder="1" applyAlignment="1" applyProtection="1">
      <alignment horizontal="left" vertical="center" wrapText="1"/>
      <protection hidden="1"/>
    </xf>
    <xf numFmtId="0" fontId="205" fillId="0" borderId="118" xfId="0" applyFont="1" applyBorder="1" applyAlignment="1" applyProtection="1">
      <alignment horizontal="left" vertical="center"/>
      <protection hidden="1"/>
    </xf>
    <xf numFmtId="0" fontId="3" fillId="0" borderId="330" xfId="0" applyFont="1" applyBorder="1" applyProtection="1">
      <alignment vertical="center"/>
      <protection hidden="1"/>
    </xf>
    <xf numFmtId="0" fontId="83" fillId="0" borderId="49" xfId="0" applyFont="1" applyBorder="1" applyProtection="1">
      <alignment vertical="center"/>
      <protection hidden="1"/>
    </xf>
    <xf numFmtId="0" fontId="87" fillId="24" borderId="49" xfId="0" applyFont="1" applyFill="1" applyBorder="1" applyProtection="1">
      <alignment vertical="center"/>
      <protection hidden="1"/>
    </xf>
    <xf numFmtId="0" fontId="25" fillId="24" borderId="0" xfId="0" applyFont="1" applyFill="1" applyAlignment="1" applyProtection="1">
      <alignment horizontal="right" vertical="top"/>
      <protection hidden="1"/>
    </xf>
    <xf numFmtId="0" fontId="65" fillId="0" borderId="0" xfId="0" applyFont="1" applyAlignment="1" applyProtection="1">
      <alignment horizontal="right" vertical="center"/>
      <protection hidden="1"/>
    </xf>
    <xf numFmtId="182" fontId="18" fillId="0" borderId="146" xfId="0" applyNumberFormat="1" applyFont="1" applyBorder="1" applyAlignment="1" applyProtection="1">
      <alignment horizontal="center" vertical="center"/>
      <protection hidden="1"/>
    </xf>
    <xf numFmtId="0" fontId="18" fillId="0" borderId="144" xfId="0" applyFont="1" applyBorder="1" applyAlignment="1" applyProtection="1">
      <alignment horizontal="center"/>
      <protection hidden="1"/>
    </xf>
    <xf numFmtId="188" fontId="207" fillId="25" borderId="10" xfId="0" applyNumberFormat="1" applyFont="1" applyFill="1" applyBorder="1">
      <alignment vertical="center"/>
    </xf>
    <xf numFmtId="187" fontId="205" fillId="25" borderId="10" xfId="35" applyNumberFormat="1" applyFont="1" applyFill="1" applyBorder="1" applyAlignment="1" applyProtection="1">
      <alignment horizontal="right"/>
      <protection hidden="1"/>
    </xf>
    <xf numFmtId="0" fontId="208" fillId="0" borderId="0" xfId="0" applyFont="1">
      <alignment vertical="center"/>
    </xf>
    <xf numFmtId="189" fontId="10" fillId="0" borderId="10" xfId="0" applyNumberFormat="1" applyFont="1" applyBorder="1" applyAlignment="1" applyProtection="1">
      <alignment horizontal="center" vertical="justify"/>
      <protection hidden="1"/>
    </xf>
    <xf numFmtId="0" fontId="3" fillId="0" borderId="10" xfId="0" applyFont="1" applyBorder="1" applyAlignment="1" applyProtection="1">
      <alignment horizontal="center" vertical="justify"/>
      <protection hidden="1"/>
    </xf>
    <xf numFmtId="0" fontId="25" fillId="45" borderId="10" xfId="0" applyFont="1" applyFill="1" applyBorder="1" applyAlignment="1" applyProtection="1">
      <alignment horizontal="center" vertical="center"/>
      <protection hidden="1"/>
    </xf>
    <xf numFmtId="0" fontId="209" fillId="45" borderId="10" xfId="0" applyFont="1" applyFill="1" applyBorder="1" applyAlignment="1" applyProtection="1">
      <alignment horizontal="center" vertical="center"/>
      <protection hidden="1"/>
    </xf>
    <xf numFmtId="178" fontId="148" fillId="0" borderId="0" xfId="0" applyNumberFormat="1" applyFont="1" applyAlignment="1" applyProtection="1">
      <alignment horizontal="center" vertical="center"/>
      <protection hidden="1"/>
    </xf>
    <xf numFmtId="0" fontId="210" fillId="25" borderId="42" xfId="0" applyFont="1" applyFill="1" applyBorder="1" applyAlignment="1" applyProtection="1">
      <alignment horizontal="left" vertical="center"/>
      <protection hidden="1"/>
    </xf>
    <xf numFmtId="0" fontId="210" fillId="25" borderId="44" xfId="0" applyFont="1" applyFill="1" applyBorder="1" applyAlignment="1" applyProtection="1">
      <alignment horizontal="left" vertical="center"/>
      <protection hidden="1"/>
    </xf>
    <xf numFmtId="0" fontId="210" fillId="25" borderId="44" xfId="0" applyFont="1" applyFill="1" applyBorder="1" applyProtection="1">
      <alignment vertical="center"/>
      <protection hidden="1"/>
    </xf>
    <xf numFmtId="0" fontId="210" fillId="25" borderId="46" xfId="0" applyFont="1" applyFill="1" applyBorder="1" applyProtection="1">
      <alignment vertical="center"/>
      <protection hidden="1"/>
    </xf>
    <xf numFmtId="0" fontId="179" fillId="25" borderId="114" xfId="0" applyFont="1" applyFill="1" applyBorder="1" applyAlignment="1" applyProtection="1">
      <alignment horizontal="left" vertical="center"/>
      <protection hidden="1"/>
    </xf>
    <xf numFmtId="0" fontId="179" fillId="25" borderId="134" xfId="0" applyFont="1" applyFill="1" applyBorder="1" applyAlignment="1" applyProtection="1">
      <alignment horizontal="left" vertical="center"/>
      <protection hidden="1"/>
    </xf>
    <xf numFmtId="0" fontId="210" fillId="25" borderId="133" xfId="0" applyFont="1" applyFill="1" applyBorder="1" applyAlignment="1" applyProtection="1">
      <alignment horizontal="left" vertical="center"/>
      <protection hidden="1"/>
    </xf>
    <xf numFmtId="0" fontId="179" fillId="25" borderId="110" xfId="0" applyFont="1" applyFill="1" applyBorder="1" applyAlignment="1" applyProtection="1">
      <alignment vertical="center" wrapText="1"/>
      <protection hidden="1"/>
    </xf>
    <xf numFmtId="0" fontId="179" fillId="25" borderId="47" xfId="0" applyFont="1" applyFill="1" applyBorder="1" applyAlignment="1" applyProtection="1">
      <alignment vertical="center" wrapText="1"/>
      <protection hidden="1"/>
    </xf>
    <xf numFmtId="196" fontId="3" fillId="25" borderId="40" xfId="0" applyNumberFormat="1" applyFont="1" applyFill="1" applyBorder="1" applyAlignment="1" applyProtection="1">
      <alignment horizontal="center" vertical="center" wrapText="1"/>
      <protection hidden="1"/>
    </xf>
    <xf numFmtId="0" fontId="211" fillId="0" borderId="0" xfId="0" applyFont="1" applyAlignment="1">
      <alignment horizontal="left" vertical="center"/>
    </xf>
    <xf numFmtId="0" fontId="212" fillId="0" borderId="0" xfId="0" applyFont="1">
      <alignment vertical="center"/>
    </xf>
    <xf numFmtId="0" fontId="210" fillId="0" borderId="0" xfId="0" applyFont="1">
      <alignment vertical="center"/>
    </xf>
    <xf numFmtId="0" fontId="210" fillId="24" borderId="0" xfId="0" applyFont="1" applyFill="1" applyAlignment="1" applyProtection="1">
      <alignment horizontal="left" vertical="center"/>
      <protection hidden="1"/>
    </xf>
    <xf numFmtId="178" fontId="210" fillId="26" borderId="17" xfId="0" applyNumberFormat="1" applyFont="1" applyFill="1" applyBorder="1" applyAlignment="1" applyProtection="1">
      <alignment horizontal="left" vertical="center"/>
      <protection hidden="1"/>
    </xf>
    <xf numFmtId="0" fontId="210" fillId="25" borderId="15" xfId="0" applyFont="1" applyFill="1" applyBorder="1" applyAlignment="1" applyProtection="1">
      <alignment horizontal="left" vertical="center"/>
      <protection hidden="1"/>
    </xf>
    <xf numFmtId="0" fontId="205" fillId="25" borderId="67" xfId="0" applyFont="1" applyFill="1" applyBorder="1" applyAlignment="1" applyProtection="1">
      <alignment horizontal="left" vertical="center"/>
      <protection hidden="1"/>
    </xf>
    <xf numFmtId="0" fontId="205" fillId="25" borderId="39" xfId="0" applyFont="1" applyFill="1" applyBorder="1" applyProtection="1">
      <alignment vertical="center"/>
      <protection hidden="1"/>
    </xf>
    <xf numFmtId="0" fontId="205" fillId="25" borderId="0" xfId="0" applyFont="1" applyFill="1" applyProtection="1">
      <alignment vertical="center"/>
      <protection hidden="1"/>
    </xf>
    <xf numFmtId="0" fontId="205" fillId="25" borderId="10" xfId="0" applyFont="1" applyFill="1" applyBorder="1" applyAlignment="1" applyProtection="1">
      <alignment horizontal="center" vertical="center"/>
      <protection hidden="1"/>
    </xf>
    <xf numFmtId="0" fontId="205" fillId="25" borderId="48" xfId="0" applyFont="1" applyFill="1" applyBorder="1" applyProtection="1">
      <alignment vertical="center"/>
      <protection hidden="1"/>
    </xf>
    <xf numFmtId="212" fontId="10" fillId="26" borderId="84" xfId="0" applyNumberFormat="1" applyFont="1" applyFill="1" applyBorder="1" applyAlignment="1" applyProtection="1">
      <alignment horizontal="center" vertical="center"/>
      <protection locked="0" hidden="1"/>
    </xf>
    <xf numFmtId="0" fontId="212" fillId="24" borderId="0" xfId="0" applyFont="1" applyFill="1" applyProtection="1">
      <alignment vertical="center"/>
      <protection hidden="1"/>
    </xf>
    <xf numFmtId="0" fontId="211" fillId="0" borderId="0" xfId="0" applyFont="1">
      <alignment vertical="center"/>
    </xf>
    <xf numFmtId="0" fontId="213" fillId="0" borderId="0" xfId="0" applyFont="1" applyAlignment="1">
      <alignment horizontal="left" vertical="center"/>
    </xf>
    <xf numFmtId="0" fontId="179" fillId="25" borderId="0" xfId="0" applyFont="1" applyFill="1" applyAlignment="1" applyProtection="1">
      <alignment horizontal="left" vertical="center"/>
      <protection hidden="1"/>
    </xf>
    <xf numFmtId="0" fontId="3" fillId="24" borderId="39" xfId="0" applyFont="1" applyFill="1" applyBorder="1">
      <alignment vertical="center"/>
    </xf>
    <xf numFmtId="0" fontId="33" fillId="24" borderId="39" xfId="0" applyFont="1" applyFill="1" applyBorder="1" applyAlignment="1" applyProtection="1">
      <alignment horizontal="left" vertical="center"/>
      <protection hidden="1"/>
    </xf>
    <xf numFmtId="0" fontId="38" fillId="24" borderId="39" xfId="0" applyFont="1" applyFill="1" applyBorder="1" applyAlignment="1" applyProtection="1">
      <alignment vertical="center" wrapText="1"/>
      <protection hidden="1"/>
    </xf>
    <xf numFmtId="0" fontId="210" fillId="25" borderId="133" xfId="0" applyFont="1" applyFill="1" applyBorder="1" applyProtection="1">
      <alignment vertical="center"/>
      <protection hidden="1"/>
    </xf>
    <xf numFmtId="0" fontId="179" fillId="25" borderId="114" xfId="0" applyFont="1" applyFill="1" applyBorder="1" applyProtection="1">
      <alignment vertical="center"/>
      <protection hidden="1"/>
    </xf>
    <xf numFmtId="0" fontId="179" fillId="25" borderId="134" xfId="0" applyFont="1" applyFill="1" applyBorder="1" applyProtection="1">
      <alignment vertical="center"/>
      <protection hidden="1"/>
    </xf>
    <xf numFmtId="0" fontId="210" fillId="25" borderId="147" xfId="0" applyFont="1" applyFill="1" applyBorder="1" applyProtection="1">
      <alignment vertical="center"/>
      <protection hidden="1"/>
    </xf>
    <xf numFmtId="0" fontId="210" fillId="25" borderId="158" xfId="0" applyFont="1" applyFill="1" applyBorder="1" applyProtection="1">
      <alignment vertical="center"/>
      <protection hidden="1"/>
    </xf>
    <xf numFmtId="0" fontId="210" fillId="25" borderId="158" xfId="0" applyFont="1" applyFill="1" applyBorder="1" applyAlignment="1" applyProtection="1">
      <alignment horizontal="left" vertical="center"/>
      <protection hidden="1"/>
    </xf>
    <xf numFmtId="0" fontId="210" fillId="25" borderId="287" xfId="0" applyFont="1" applyFill="1" applyBorder="1" applyProtection="1">
      <alignment vertical="center"/>
      <protection hidden="1"/>
    </xf>
    <xf numFmtId="0" fontId="210" fillId="25" borderId="11" xfId="0" applyFont="1" applyFill="1" applyBorder="1" applyProtection="1">
      <alignment vertical="center"/>
      <protection hidden="1"/>
    </xf>
    <xf numFmtId="0" fontId="179" fillId="25" borderId="0" xfId="0" applyFont="1" applyFill="1" applyProtection="1">
      <alignment vertical="center"/>
      <protection hidden="1"/>
    </xf>
    <xf numFmtId="0" fontId="210" fillId="25" borderId="66" xfId="0" applyFont="1" applyFill="1" applyBorder="1" applyProtection="1">
      <alignment vertical="center"/>
      <protection hidden="1"/>
    </xf>
    <xf numFmtId="0" fontId="179" fillId="25" borderId="189" xfId="0" applyFont="1" applyFill="1" applyBorder="1" applyProtection="1">
      <alignment vertical="center"/>
      <protection hidden="1"/>
    </xf>
    <xf numFmtId="0" fontId="179" fillId="25" borderId="299" xfId="0" applyFont="1" applyFill="1" applyBorder="1" applyProtection="1">
      <alignment vertical="center"/>
      <protection hidden="1"/>
    </xf>
    <xf numFmtId="0" fontId="210" fillId="25" borderId="11" xfId="0" applyFont="1" applyFill="1" applyBorder="1" applyAlignment="1" applyProtection="1">
      <alignment horizontal="left" vertical="center"/>
      <protection hidden="1"/>
    </xf>
    <xf numFmtId="0" fontId="179" fillId="25" borderId="190" xfId="0" applyFont="1" applyFill="1" applyBorder="1" applyProtection="1">
      <alignment vertical="center"/>
      <protection hidden="1"/>
    </xf>
    <xf numFmtId="0" fontId="179" fillId="25" borderId="299" xfId="0" applyFont="1" applyFill="1" applyBorder="1" applyAlignment="1" applyProtection="1">
      <alignment horizontal="left" vertical="center"/>
      <protection hidden="1"/>
    </xf>
    <xf numFmtId="0" fontId="210" fillId="25" borderId="69" xfId="0" applyFont="1" applyFill="1" applyBorder="1" applyProtection="1">
      <alignment vertical="center"/>
      <protection hidden="1"/>
    </xf>
    <xf numFmtId="0" fontId="179" fillId="25" borderId="21" xfId="0" applyFont="1" applyFill="1" applyBorder="1" applyAlignment="1" applyProtection="1">
      <alignment vertical="center" wrapText="1"/>
      <protection hidden="1"/>
    </xf>
    <xf numFmtId="0" fontId="179" fillId="25" borderId="190" xfId="0" applyFont="1" applyFill="1" applyBorder="1" applyAlignment="1" applyProtection="1">
      <alignment horizontal="left" vertical="center"/>
      <protection hidden="1"/>
    </xf>
    <xf numFmtId="38" fontId="3" fillId="0" borderId="10" xfId="48" applyFont="1" applyFill="1" applyBorder="1" applyAlignment="1" applyProtection="1">
      <alignment horizontal="center" vertical="center"/>
      <protection hidden="1"/>
    </xf>
    <xf numFmtId="38" fontId="10" fillId="0" borderId="10" xfId="48" applyFont="1" applyFill="1" applyBorder="1" applyAlignment="1" applyProtection="1">
      <alignment horizontal="center" vertical="center"/>
      <protection hidden="1"/>
    </xf>
    <xf numFmtId="0" fontId="3" fillId="24" borderId="0" xfId="0" quotePrefix="1" applyFont="1" applyFill="1" applyProtection="1">
      <alignment vertical="center"/>
      <protection hidden="1"/>
    </xf>
    <xf numFmtId="38" fontId="1" fillId="0" borderId="10" xfId="0" applyNumberFormat="1" applyFont="1" applyBorder="1" applyAlignment="1">
      <alignment horizontal="center" vertical="center"/>
    </xf>
    <xf numFmtId="38" fontId="1" fillId="0" borderId="0" xfId="0" applyNumberFormat="1" applyFont="1" applyAlignment="1">
      <alignment horizontal="center" vertical="center"/>
    </xf>
    <xf numFmtId="0" fontId="5" fillId="26" borderId="81" xfId="0" applyFont="1" applyFill="1" applyBorder="1" applyAlignment="1" applyProtection="1">
      <alignment horizontal="center" vertical="center"/>
      <protection locked="0" hidden="1"/>
    </xf>
    <xf numFmtId="0" fontId="3" fillId="25" borderId="14" xfId="0" applyFont="1" applyFill="1" applyBorder="1" applyAlignment="1" applyProtection="1">
      <alignment horizontal="center" vertical="center"/>
      <protection hidden="1"/>
    </xf>
    <xf numFmtId="0" fontId="3" fillId="25" borderId="332" xfId="0" applyFont="1" applyFill="1" applyBorder="1" applyAlignment="1" applyProtection="1">
      <alignment horizontal="center" vertical="center" wrapText="1"/>
      <protection hidden="1"/>
    </xf>
    <xf numFmtId="178" fontId="148" fillId="0" borderId="0" xfId="0" applyNumberFormat="1" applyFont="1" applyAlignment="1" applyProtection="1">
      <alignment horizontal="left" vertical="center"/>
      <protection hidden="1"/>
    </xf>
    <xf numFmtId="0" fontId="10" fillId="25" borderId="39" xfId="0" applyFont="1" applyFill="1" applyBorder="1" applyAlignment="1" applyProtection="1">
      <alignment horizontal="center" vertical="center" wrapText="1"/>
      <protection hidden="1"/>
    </xf>
    <xf numFmtId="192" fontId="10" fillId="25" borderId="17" xfId="0" applyNumberFormat="1" applyFont="1" applyFill="1" applyBorder="1" applyAlignment="1" applyProtection="1">
      <alignment horizontal="center" vertical="center" wrapText="1"/>
      <protection hidden="1"/>
    </xf>
    <xf numFmtId="0" fontId="7" fillId="25" borderId="333" xfId="0" applyFont="1" applyFill="1" applyBorder="1" applyAlignment="1" applyProtection="1">
      <alignment horizontal="center" vertical="center"/>
      <protection hidden="1"/>
    </xf>
    <xf numFmtId="0" fontId="3" fillId="25" borderId="185" xfId="0" applyFont="1" applyFill="1" applyBorder="1" applyAlignment="1" applyProtection="1">
      <alignment horizontal="center" vertical="center"/>
      <protection hidden="1"/>
    </xf>
    <xf numFmtId="0" fontId="5" fillId="44" borderId="100" xfId="0" applyFont="1" applyFill="1" applyBorder="1" applyAlignment="1" applyProtection="1">
      <alignment horizontal="center" vertical="center"/>
      <protection locked="0" hidden="1"/>
    </xf>
    <xf numFmtId="0" fontId="5" fillId="44" borderId="129" xfId="0" applyFont="1" applyFill="1" applyBorder="1" applyAlignment="1" applyProtection="1">
      <alignment horizontal="center" vertical="center"/>
      <protection locked="0" hidden="1"/>
    </xf>
    <xf numFmtId="0" fontId="5" fillId="44" borderId="85" xfId="0" applyFont="1" applyFill="1" applyBorder="1" applyAlignment="1" applyProtection="1">
      <alignment horizontal="center" vertical="center"/>
      <protection locked="0" hidden="1"/>
    </xf>
    <xf numFmtId="196" fontId="3" fillId="25" borderId="10" xfId="0" applyNumberFormat="1" applyFont="1" applyFill="1" applyBorder="1" applyAlignment="1" applyProtection="1">
      <alignment horizontal="center" vertical="center" wrapText="1"/>
      <protection hidden="1"/>
    </xf>
    <xf numFmtId="9" fontId="210" fillId="45" borderId="218" xfId="28" applyFont="1" applyFill="1" applyBorder="1" applyAlignment="1" applyProtection="1">
      <alignment horizontal="center" vertical="center"/>
    </xf>
    <xf numFmtId="9" fontId="210" fillId="45" borderId="10" xfId="28" applyFont="1" applyFill="1" applyBorder="1" applyAlignment="1" applyProtection="1">
      <alignment horizontal="center" vertical="center"/>
    </xf>
    <xf numFmtId="0" fontId="3" fillId="25" borderId="181" xfId="0" applyFont="1" applyFill="1" applyBorder="1" applyAlignment="1" applyProtection="1">
      <alignment vertical="center" wrapText="1"/>
      <protection hidden="1"/>
    </xf>
    <xf numFmtId="0" fontId="3" fillId="25" borderId="117" xfId="0" applyFont="1" applyFill="1" applyBorder="1" applyAlignment="1" applyProtection="1">
      <alignment vertical="center" wrapText="1"/>
      <protection hidden="1"/>
    </xf>
    <xf numFmtId="0" fontId="3" fillId="25" borderId="94" xfId="0" applyFont="1" applyFill="1" applyBorder="1" applyAlignment="1" applyProtection="1">
      <alignment horizontal="center" vertical="center"/>
      <protection hidden="1"/>
    </xf>
    <xf numFmtId="0" fontId="3" fillId="25" borderId="98" xfId="0" applyFont="1" applyFill="1" applyBorder="1" applyAlignment="1" applyProtection="1">
      <alignment vertical="center" wrapText="1"/>
      <protection hidden="1"/>
    </xf>
    <xf numFmtId="0" fontId="27" fillId="44" borderId="100" xfId="35" applyNumberFormat="1" applyFont="1" applyFill="1" applyBorder="1" applyAlignment="1" applyProtection="1">
      <alignment horizontal="center" vertical="center"/>
      <protection locked="0" hidden="1"/>
    </xf>
    <xf numFmtId="0" fontId="27" fillId="44" borderId="113" xfId="35" applyNumberFormat="1" applyFont="1" applyFill="1" applyBorder="1" applyAlignment="1" applyProtection="1">
      <alignment horizontal="center" vertical="center"/>
      <protection locked="0" hidden="1"/>
    </xf>
    <xf numFmtId="0" fontId="3" fillId="25" borderId="112" xfId="0" applyFont="1" applyFill="1" applyBorder="1" applyAlignment="1">
      <alignment horizontal="center" vertical="center" wrapText="1"/>
    </xf>
    <xf numFmtId="0" fontId="3" fillId="25" borderId="47" xfId="0" applyFont="1" applyFill="1" applyBorder="1" applyAlignment="1">
      <alignment horizontal="center" vertical="center" wrapText="1"/>
    </xf>
    <xf numFmtId="0" fontId="27" fillId="44" borderId="101" xfId="35" applyNumberFormat="1" applyFont="1" applyFill="1" applyBorder="1" applyAlignment="1" applyProtection="1">
      <alignment horizontal="center" vertical="center"/>
      <protection locked="0" hidden="1"/>
    </xf>
    <xf numFmtId="0" fontId="209" fillId="25" borderId="10" xfId="0" applyFont="1" applyFill="1" applyBorder="1" applyAlignment="1" applyProtection="1">
      <alignment horizontal="center" vertical="center"/>
      <protection hidden="1"/>
    </xf>
    <xf numFmtId="0" fontId="214" fillId="25" borderId="66" xfId="0" applyFont="1" applyFill="1" applyBorder="1" applyAlignment="1" applyProtection="1">
      <alignment horizontal="right" vertical="center"/>
      <protection hidden="1"/>
    </xf>
    <xf numFmtId="180" fontId="7" fillId="39" borderId="51" xfId="0" applyNumberFormat="1" applyFont="1" applyFill="1" applyBorder="1" applyAlignment="1">
      <alignment horizontal="left" shrinkToFit="1"/>
    </xf>
    <xf numFmtId="180" fontId="3" fillId="0" borderId="38" xfId="0" applyNumberFormat="1" applyFont="1" applyBorder="1" applyAlignment="1">
      <alignment horizontal="left" vertical="center" shrinkToFit="1"/>
    </xf>
    <xf numFmtId="180" fontId="3" fillId="0" borderId="39" xfId="0" applyNumberFormat="1" applyFont="1" applyBorder="1" applyAlignment="1">
      <alignment horizontal="left" vertical="center" shrinkToFit="1"/>
    </xf>
    <xf numFmtId="180" fontId="7" fillId="0" borderId="39" xfId="0" applyNumberFormat="1" applyFont="1" applyBorder="1" applyAlignment="1">
      <alignment horizontal="left" shrinkToFit="1"/>
    </xf>
    <xf numFmtId="2" fontId="3" fillId="73" borderId="17" xfId="0" applyNumberFormat="1" applyFont="1" applyFill="1" applyBorder="1" applyAlignment="1" applyProtection="1">
      <alignment horizontal="left" vertical="center"/>
      <protection hidden="1"/>
    </xf>
    <xf numFmtId="0" fontId="215" fillId="25" borderId="48" xfId="0" applyFont="1" applyFill="1" applyBorder="1">
      <alignment vertical="center"/>
    </xf>
    <xf numFmtId="183" fontId="25" fillId="25" borderId="334" xfId="0" applyNumberFormat="1" applyFont="1" applyFill="1" applyBorder="1" applyAlignment="1" applyProtection="1">
      <alignment horizontal="center" vertical="center"/>
      <protection hidden="1"/>
    </xf>
    <xf numFmtId="183" fontId="65" fillId="0" borderId="41" xfId="0" applyNumberFormat="1" applyFont="1" applyBorder="1" applyAlignment="1" applyProtection="1">
      <alignment horizontal="center" vertical="center"/>
      <protection hidden="1"/>
    </xf>
    <xf numFmtId="0" fontId="13" fillId="25" borderId="70" xfId="0" applyFont="1" applyFill="1" applyBorder="1" applyProtection="1">
      <alignment vertical="center"/>
      <protection hidden="1"/>
    </xf>
    <xf numFmtId="183" fontId="25" fillId="25" borderId="335" xfId="0" applyNumberFormat="1" applyFont="1" applyFill="1" applyBorder="1" applyAlignment="1" applyProtection="1">
      <alignment horizontal="center" vertical="center"/>
      <protection hidden="1"/>
    </xf>
    <xf numFmtId="0" fontId="13" fillId="25" borderId="14" xfId="0" quotePrefix="1" applyFont="1" applyFill="1" applyBorder="1" applyAlignment="1" applyProtection="1">
      <alignment horizontal="center" vertical="center"/>
      <protection hidden="1"/>
    </xf>
    <xf numFmtId="0" fontId="13" fillId="25" borderId="112" xfId="0" quotePrefix="1" applyFont="1" applyFill="1" applyBorder="1" applyAlignment="1" applyProtection="1">
      <alignment horizontal="center" vertical="center"/>
      <protection hidden="1"/>
    </xf>
    <xf numFmtId="222" fontId="67" fillId="0" borderId="0" xfId="0" applyNumberFormat="1" applyFont="1">
      <alignment vertical="center"/>
    </xf>
    <xf numFmtId="209" fontId="196" fillId="0" borderId="0" xfId="0" applyNumberFormat="1" applyFont="1">
      <alignment vertical="center"/>
    </xf>
    <xf numFmtId="178" fontId="196" fillId="0" borderId="0" xfId="0" applyNumberFormat="1" applyFont="1">
      <alignment vertical="center"/>
    </xf>
    <xf numFmtId="0" fontId="198" fillId="0" borderId="0" xfId="0" applyFont="1">
      <alignment vertical="center"/>
    </xf>
    <xf numFmtId="0" fontId="1" fillId="25" borderId="330" xfId="51" applyFill="1" applyBorder="1" applyAlignment="1">
      <alignment vertical="center"/>
    </xf>
    <xf numFmtId="0" fontId="5" fillId="25" borderId="330" xfId="51" applyFont="1" applyFill="1" applyBorder="1" applyAlignment="1">
      <alignment vertical="center"/>
    </xf>
    <xf numFmtId="0" fontId="13" fillId="25" borderId="330" xfId="0" applyFont="1" applyFill="1" applyBorder="1">
      <alignment vertical="center"/>
    </xf>
    <xf numFmtId="199" fontId="1" fillId="25" borderId="330" xfId="51" applyNumberFormat="1" applyFill="1" applyBorder="1" applyAlignment="1">
      <alignment vertical="center"/>
    </xf>
    <xf numFmtId="0" fontId="3" fillId="25" borderId="104" xfId="0" applyFont="1" applyFill="1" applyBorder="1" applyAlignment="1">
      <alignment horizontal="center" vertical="center" wrapText="1"/>
    </xf>
    <xf numFmtId="0" fontId="3" fillId="25" borderId="119" xfId="0" applyFont="1" applyFill="1" applyBorder="1" applyAlignment="1" applyProtection="1">
      <alignment vertical="center" wrapText="1"/>
      <protection hidden="1"/>
    </xf>
    <xf numFmtId="0" fontId="3" fillId="25" borderId="10" xfId="0" applyFont="1" applyFill="1" applyBorder="1" applyAlignment="1">
      <alignment horizontal="center" vertical="center" wrapText="1"/>
    </xf>
    <xf numFmtId="0" fontId="17" fillId="29" borderId="336" xfId="0" applyFont="1" applyFill="1" applyBorder="1" applyProtection="1">
      <alignment vertical="center"/>
      <protection hidden="1"/>
    </xf>
    <xf numFmtId="0" fontId="70" fillId="25" borderId="156" xfId="29" applyFill="1" applyBorder="1" applyAlignment="1" applyProtection="1">
      <alignment vertical="center"/>
      <protection hidden="1"/>
    </xf>
    <xf numFmtId="0" fontId="217" fillId="25" borderId="30" xfId="0" applyFont="1" applyFill="1" applyBorder="1" applyProtection="1">
      <alignment vertical="center"/>
      <protection hidden="1"/>
    </xf>
    <xf numFmtId="0" fontId="218" fillId="25" borderId="155" xfId="29" applyFont="1" applyFill="1" applyBorder="1" applyAlignment="1" applyProtection="1">
      <alignment horizontal="left" vertical="center" indent="1"/>
      <protection hidden="1"/>
    </xf>
    <xf numFmtId="0" fontId="7" fillId="0" borderId="0" xfId="51" applyFont="1"/>
    <xf numFmtId="0" fontId="7" fillId="0" borderId="21" xfId="51" applyFont="1" applyBorder="1"/>
    <xf numFmtId="0" fontId="219" fillId="25" borderId="108" xfId="29" applyFont="1" applyFill="1" applyBorder="1" applyAlignment="1" applyProtection="1">
      <alignment vertical="center"/>
      <protection hidden="1"/>
    </xf>
    <xf numFmtId="0" fontId="219" fillId="25" borderId="174" xfId="29" applyFont="1" applyFill="1" applyBorder="1" applyAlignment="1" applyProtection="1">
      <alignment vertical="center"/>
      <protection hidden="1"/>
    </xf>
    <xf numFmtId="0" fontId="13" fillId="45" borderId="10" xfId="0" applyFont="1" applyFill="1" applyBorder="1" applyAlignment="1" applyProtection="1">
      <alignment horizontal="center" vertical="center"/>
      <protection hidden="1"/>
    </xf>
    <xf numFmtId="0" fontId="10" fillId="45" borderId="21" xfId="0" applyFont="1" applyFill="1" applyBorder="1" applyProtection="1">
      <alignment vertical="center"/>
      <protection hidden="1"/>
    </xf>
    <xf numFmtId="0" fontId="216" fillId="55" borderId="310" xfId="0" applyFont="1" applyFill="1" applyBorder="1" applyAlignment="1">
      <alignment vertical="center" shrinkToFit="1"/>
    </xf>
    <xf numFmtId="0" fontId="13" fillId="0" borderId="109" xfId="0" applyFont="1" applyBorder="1" applyAlignment="1" applyProtection="1">
      <alignment horizontal="left" vertical="center"/>
      <protection hidden="1"/>
    </xf>
    <xf numFmtId="2" fontId="13" fillId="25" borderId="41" xfId="48" applyNumberFormat="1" applyFont="1" applyFill="1" applyBorder="1" applyAlignment="1">
      <alignment horizontal="right" vertical="center"/>
    </xf>
    <xf numFmtId="202" fontId="27" fillId="25" borderId="39" xfId="0" applyNumberFormat="1" applyFont="1" applyFill="1" applyBorder="1" applyAlignment="1" applyProtection="1">
      <alignment horizontal="center" vertical="center"/>
      <protection hidden="1"/>
    </xf>
    <xf numFmtId="0" fontId="1" fillId="25" borderId="0" xfId="0" applyFont="1" applyFill="1">
      <alignment vertical="center"/>
    </xf>
    <xf numFmtId="0" fontId="1" fillId="25" borderId="0" xfId="51" applyFill="1"/>
    <xf numFmtId="0" fontId="1" fillId="25" borderId="0" xfId="51" applyFill="1" applyAlignment="1">
      <alignment vertical="top"/>
    </xf>
    <xf numFmtId="210" fontId="13" fillId="25" borderId="17" xfId="51" applyNumberFormat="1" applyFont="1" applyFill="1" applyBorder="1" applyAlignment="1">
      <alignment horizontal="right"/>
    </xf>
    <xf numFmtId="210" fontId="13" fillId="25" borderId="10" xfId="51" applyNumberFormat="1" applyFont="1" applyFill="1" applyBorder="1" applyAlignment="1">
      <alignment horizontal="right"/>
    </xf>
    <xf numFmtId="0" fontId="13" fillId="25" borderId="66" xfId="51" applyFont="1" applyFill="1" applyBorder="1"/>
    <xf numFmtId="0" fontId="13" fillId="25" borderId="10" xfId="51" applyFont="1" applyFill="1" applyBorder="1"/>
    <xf numFmtId="210" fontId="13" fillId="25" borderId="17" xfId="0" applyNumberFormat="1" applyFont="1" applyFill="1" applyBorder="1">
      <alignment vertical="center"/>
    </xf>
    <xf numFmtId="0" fontId="1" fillId="25" borderId="0" xfId="0" applyFont="1" applyFill="1" applyAlignment="1">
      <alignment horizontal="center" vertical="center"/>
    </xf>
    <xf numFmtId="0" fontId="3" fillId="25" borderId="0" xfId="0" applyFont="1" applyFill="1">
      <alignment vertical="center"/>
    </xf>
    <xf numFmtId="0" fontId="27" fillId="25" borderId="96" xfId="0" applyFont="1" applyFill="1" applyBorder="1" applyAlignment="1" applyProtection="1">
      <alignment horizontal="left" vertical="center"/>
      <protection hidden="1"/>
    </xf>
    <xf numFmtId="0" fontId="0" fillId="35" borderId="10" xfId="0" applyFill="1" applyBorder="1" applyAlignment="1" applyProtection="1">
      <alignment horizontal="left" vertical="center"/>
      <protection hidden="1"/>
    </xf>
    <xf numFmtId="0" fontId="0" fillId="35" borderId="10" xfId="0" applyFill="1" applyBorder="1" applyProtection="1">
      <alignment vertical="center"/>
      <protection hidden="1"/>
    </xf>
    <xf numFmtId="177" fontId="0" fillId="0" borderId="0" xfId="0" applyNumberFormat="1">
      <alignment vertical="center"/>
    </xf>
    <xf numFmtId="40" fontId="0" fillId="35" borderId="10" xfId="35" applyNumberFormat="1" applyFont="1" applyFill="1" applyBorder="1" applyAlignment="1" applyProtection="1">
      <alignment horizontal="center" vertical="top"/>
      <protection hidden="1"/>
    </xf>
    <xf numFmtId="40" fontId="0" fillId="35" borderId="48" xfId="35" applyNumberFormat="1" applyFont="1" applyFill="1" applyBorder="1" applyAlignment="1" applyProtection="1">
      <alignment horizontal="center" vertical="top"/>
      <protection hidden="1"/>
    </xf>
    <xf numFmtId="0" fontId="0" fillId="25" borderId="18" xfId="0" applyFill="1" applyBorder="1">
      <alignment vertical="center"/>
    </xf>
    <xf numFmtId="0" fontId="0" fillId="25" borderId="43" xfId="0" applyFill="1" applyBorder="1">
      <alignment vertical="center"/>
    </xf>
    <xf numFmtId="0" fontId="0" fillId="25" borderId="108" xfId="0" applyFill="1" applyBorder="1" applyAlignment="1">
      <alignment vertical="center" wrapText="1"/>
    </xf>
    <xf numFmtId="0" fontId="0" fillId="25" borderId="45" xfId="0" applyFill="1" applyBorder="1" applyAlignment="1">
      <alignment vertical="center" wrapText="1"/>
    </xf>
    <xf numFmtId="0" fontId="0" fillId="25" borderId="110" xfId="0" applyFill="1" applyBorder="1" applyAlignment="1">
      <alignment vertical="center" wrapText="1"/>
    </xf>
    <xf numFmtId="0" fontId="0" fillId="25" borderId="47" xfId="0" applyFill="1" applyBorder="1" applyAlignment="1">
      <alignment vertical="center" wrapText="1"/>
    </xf>
    <xf numFmtId="0" fontId="0" fillId="25" borderId="108" xfId="0" applyFill="1" applyBorder="1">
      <alignment vertical="center"/>
    </xf>
    <xf numFmtId="0" fontId="0" fillId="25" borderId="45" xfId="0" applyFill="1" applyBorder="1">
      <alignment vertical="center"/>
    </xf>
    <xf numFmtId="0" fontId="0" fillId="25" borderId="110" xfId="0" applyFill="1" applyBorder="1">
      <alignment vertical="center"/>
    </xf>
    <xf numFmtId="0" fontId="0" fillId="25" borderId="47" xfId="0" applyFill="1" applyBorder="1">
      <alignment vertical="center"/>
    </xf>
    <xf numFmtId="0" fontId="3" fillId="25" borderId="181" xfId="0" applyFont="1" applyFill="1" applyBorder="1" applyAlignment="1" applyProtection="1">
      <alignment horizontal="center" vertical="center"/>
      <protection hidden="1"/>
    </xf>
    <xf numFmtId="0" fontId="0" fillId="25" borderId="108" xfId="0" applyFill="1" applyBorder="1" applyAlignment="1">
      <alignment horizontal="left" vertical="center"/>
    </xf>
    <xf numFmtId="0" fontId="3" fillId="25" borderId="325" xfId="0" applyFont="1" applyFill="1" applyBorder="1" applyAlignment="1" applyProtection="1">
      <alignment horizontal="center" vertical="center" wrapText="1"/>
      <protection hidden="1"/>
    </xf>
    <xf numFmtId="0" fontId="3" fillId="25" borderId="133" xfId="0" applyFont="1" applyFill="1" applyBorder="1" applyAlignment="1" applyProtection="1">
      <alignment horizontal="left" vertical="center"/>
      <protection hidden="1"/>
    </xf>
    <xf numFmtId="0" fontId="3" fillId="25" borderId="114" xfId="0" applyFont="1" applyFill="1" applyBorder="1" applyAlignment="1" applyProtection="1">
      <alignment horizontal="left" vertical="center"/>
      <protection hidden="1"/>
    </xf>
    <xf numFmtId="0" fontId="3" fillId="25" borderId="134" xfId="0" applyFont="1" applyFill="1" applyBorder="1" applyAlignment="1" applyProtection="1">
      <alignment horizontal="left" vertical="center"/>
      <protection hidden="1"/>
    </xf>
    <xf numFmtId="0" fontId="3" fillId="25" borderId="74" xfId="0" applyFont="1" applyFill="1" applyBorder="1" applyAlignment="1" applyProtection="1">
      <alignment horizontal="center" vertical="center" wrapText="1"/>
      <protection hidden="1"/>
    </xf>
    <xf numFmtId="0" fontId="3" fillId="25" borderId="178" xfId="0" applyFont="1" applyFill="1" applyBorder="1" applyAlignment="1" applyProtection="1">
      <alignment horizontal="center" vertical="center" wrapText="1"/>
      <protection hidden="1"/>
    </xf>
    <xf numFmtId="0" fontId="3" fillId="25" borderId="118" xfId="0" applyFont="1" applyFill="1" applyBorder="1" applyAlignment="1" applyProtection="1">
      <alignment horizontal="center" vertical="center" wrapText="1"/>
      <protection hidden="1"/>
    </xf>
    <xf numFmtId="0" fontId="0" fillId="25" borderId="110" xfId="0" applyFill="1" applyBorder="1" applyAlignment="1">
      <alignment horizontal="left" vertical="center"/>
    </xf>
    <xf numFmtId="0" fontId="0" fillId="25" borderId="18" xfId="0" applyFill="1" applyBorder="1" applyAlignment="1">
      <alignment vertical="center" wrapText="1"/>
    </xf>
    <xf numFmtId="0" fontId="0" fillId="25" borderId="43" xfId="0" applyFill="1" applyBorder="1" applyAlignment="1">
      <alignment vertical="center" wrapText="1"/>
    </xf>
    <xf numFmtId="0" fontId="0" fillId="25" borderId="45" xfId="0" applyFill="1" applyBorder="1" applyAlignment="1">
      <alignment horizontal="left" vertical="center"/>
    </xf>
    <xf numFmtId="0" fontId="3" fillId="25" borderId="319" xfId="0" applyFont="1" applyFill="1" applyBorder="1" applyAlignment="1" applyProtection="1">
      <alignment horizontal="center" vertical="center" wrapText="1"/>
      <protection hidden="1"/>
    </xf>
    <xf numFmtId="0" fontId="3" fillId="25" borderId="326" xfId="0" applyFont="1" applyFill="1" applyBorder="1" applyAlignment="1" applyProtection="1">
      <alignment horizontal="center" vertical="center"/>
      <protection hidden="1"/>
    </xf>
    <xf numFmtId="0" fontId="220" fillId="0" borderId="0" xfId="0" applyFont="1" applyAlignment="1">
      <alignment horizontal="left" vertical="center"/>
    </xf>
    <xf numFmtId="0" fontId="3" fillId="25" borderId="51" xfId="0" applyFont="1" applyFill="1" applyBorder="1" applyAlignment="1" applyProtection="1">
      <alignment vertical="center" wrapText="1"/>
      <protection hidden="1"/>
    </xf>
    <xf numFmtId="178" fontId="3" fillId="73" borderId="17" xfId="0" applyNumberFormat="1" applyFont="1" applyFill="1" applyBorder="1" applyAlignment="1" applyProtection="1">
      <alignment horizontal="left" vertical="center"/>
      <protection hidden="1"/>
    </xf>
    <xf numFmtId="0" fontId="0" fillId="0" borderId="0" xfId="0" applyProtection="1">
      <alignment vertical="center"/>
      <protection hidden="1"/>
    </xf>
    <xf numFmtId="0" fontId="7" fillId="0" borderId="0" xfId="0" applyFont="1">
      <alignment vertical="center"/>
    </xf>
    <xf numFmtId="0" fontId="3" fillId="25" borderId="66" xfId="0" applyFont="1" applyFill="1" applyBorder="1" applyAlignment="1" applyProtection="1">
      <alignment horizontal="left" vertical="center"/>
      <protection hidden="1"/>
    </xf>
    <xf numFmtId="0" fontId="13" fillId="45" borderId="66" xfId="44" applyFont="1" applyFill="1" applyBorder="1" applyAlignment="1" applyProtection="1">
      <alignment horizontal="center" vertical="center"/>
      <protection hidden="1"/>
    </xf>
    <xf numFmtId="0" fontId="3" fillId="45" borderId="48" xfId="44" applyFont="1" applyFill="1" applyBorder="1" applyAlignment="1" applyProtection="1">
      <alignment horizontal="center" vertical="center"/>
      <protection hidden="1"/>
    </xf>
    <xf numFmtId="0" fontId="7" fillId="45" borderId="10" xfId="0" applyFont="1" applyFill="1" applyBorder="1" applyAlignment="1">
      <alignment horizontal="center" vertical="center" wrapText="1"/>
    </xf>
    <xf numFmtId="0" fontId="10" fillId="0" borderId="0" xfId="0" applyFont="1" applyAlignment="1">
      <alignment horizontal="right"/>
    </xf>
    <xf numFmtId="0" fontId="3" fillId="0" borderId="48" xfId="0" applyFont="1" applyBorder="1">
      <alignment vertical="center"/>
    </xf>
    <xf numFmtId="0" fontId="13" fillId="0" borderId="39" xfId="44" applyFont="1" applyBorder="1" applyAlignment="1" applyProtection="1">
      <alignment horizontal="center" vertical="center"/>
      <protection hidden="1"/>
    </xf>
    <xf numFmtId="0" fontId="13" fillId="0" borderId="68" xfId="44" applyFont="1" applyBorder="1" applyAlignment="1" applyProtection="1">
      <alignment horizontal="center" vertical="center"/>
      <protection hidden="1"/>
    </xf>
    <xf numFmtId="38" fontId="27" fillId="43" borderId="135" xfId="35" applyFont="1" applyFill="1" applyBorder="1" applyAlignment="1" applyProtection="1">
      <alignment horizontal="right" vertical="center"/>
      <protection locked="0"/>
    </xf>
    <xf numFmtId="38" fontId="13" fillId="25" borderId="39" xfId="35" applyFont="1" applyFill="1" applyBorder="1" applyProtection="1">
      <alignment vertical="center"/>
    </xf>
    <xf numFmtId="9" fontId="13" fillId="25" borderId="40" xfId="28" applyFont="1" applyFill="1" applyBorder="1" applyAlignment="1" applyProtection="1">
      <alignment vertical="center"/>
    </xf>
    <xf numFmtId="38" fontId="27" fillId="43" borderId="87" xfId="35" applyFont="1" applyFill="1" applyBorder="1" applyAlignment="1" applyProtection="1">
      <alignment horizontal="right" vertical="center"/>
      <protection locked="0"/>
    </xf>
    <xf numFmtId="9" fontId="27" fillId="25" borderId="104" xfId="28" applyFont="1" applyFill="1" applyBorder="1" applyAlignment="1" applyProtection="1">
      <alignment horizontal="right" vertical="center"/>
    </xf>
    <xf numFmtId="38" fontId="3" fillId="43" borderId="74" xfId="35" applyFont="1" applyFill="1" applyBorder="1" applyProtection="1">
      <alignment vertical="center"/>
    </xf>
    <xf numFmtId="177" fontId="10" fillId="43" borderId="94" xfId="28" applyNumberFormat="1" applyFont="1" applyFill="1" applyBorder="1" applyAlignment="1" applyProtection="1">
      <alignment vertical="center"/>
    </xf>
    <xf numFmtId="0" fontId="10" fillId="0" borderId="39" xfId="44" applyFont="1" applyBorder="1" applyAlignment="1" applyProtection="1">
      <alignment horizontal="left" vertical="center" wrapText="1"/>
      <protection hidden="1"/>
    </xf>
    <xf numFmtId="0" fontId="10" fillId="0" borderId="68" xfId="44" applyFont="1" applyBorder="1" applyAlignment="1" applyProtection="1">
      <alignment horizontal="left" vertical="center" wrapText="1"/>
      <protection hidden="1"/>
    </xf>
    <xf numFmtId="38" fontId="3" fillId="43" borderId="23" xfId="35" applyFont="1" applyFill="1" applyBorder="1" applyProtection="1">
      <alignment vertical="center"/>
    </xf>
    <xf numFmtId="9" fontId="3" fillId="43" borderId="16" xfId="28" applyFont="1" applyFill="1" applyBorder="1" applyAlignment="1" applyProtection="1">
      <alignment vertical="center"/>
    </xf>
    <xf numFmtId="0" fontId="10" fillId="0" borderId="70" xfId="44" applyFont="1" applyBorder="1" applyAlignment="1" applyProtection="1">
      <alignment horizontal="left" vertical="center" wrapText="1"/>
      <protection hidden="1"/>
    </xf>
    <xf numFmtId="38" fontId="27" fillId="43" borderId="83" xfId="35" applyFont="1" applyFill="1" applyBorder="1" applyAlignment="1" applyProtection="1">
      <alignment horizontal="right" vertical="center"/>
      <protection locked="0"/>
    </xf>
    <xf numFmtId="0" fontId="10" fillId="0" borderId="39" xfId="44" applyFont="1" applyBorder="1" applyAlignment="1" applyProtection="1">
      <alignment horizontal="left" vertical="center"/>
      <protection hidden="1"/>
    </xf>
    <xf numFmtId="0" fontId="10" fillId="0" borderId="70" xfId="44" applyFont="1" applyBorder="1" applyAlignment="1" applyProtection="1">
      <alignment horizontal="left" vertical="center"/>
      <protection hidden="1"/>
    </xf>
    <xf numFmtId="0" fontId="10" fillId="0" borderId="68" xfId="44" applyFont="1" applyBorder="1" applyAlignment="1" applyProtection="1">
      <alignment horizontal="left" vertical="center"/>
      <protection hidden="1"/>
    </xf>
    <xf numFmtId="38" fontId="27" fillId="43" borderId="126" xfId="35" applyFont="1" applyFill="1" applyBorder="1" applyAlignment="1" applyProtection="1">
      <alignment horizontal="right" vertical="center"/>
      <protection locked="0"/>
    </xf>
    <xf numFmtId="38" fontId="3" fillId="43" borderId="118" xfId="35" applyFont="1" applyFill="1" applyBorder="1" applyProtection="1">
      <alignment vertical="center"/>
    </xf>
    <xf numFmtId="9" fontId="3" fillId="43" borderId="51" xfId="28" applyFont="1" applyFill="1" applyBorder="1" applyAlignment="1" applyProtection="1">
      <alignment vertical="center"/>
    </xf>
    <xf numFmtId="0" fontId="3" fillId="41" borderId="0" xfId="0" applyFont="1" applyFill="1">
      <alignment vertical="center"/>
    </xf>
    <xf numFmtId="0" fontId="3" fillId="41" borderId="0" xfId="0" applyFont="1" applyFill="1" applyAlignment="1">
      <alignment horizontal="left" vertical="center" wrapText="1"/>
    </xf>
    <xf numFmtId="0" fontId="13" fillId="25" borderId="66" xfId="0" applyFont="1" applyFill="1" applyBorder="1">
      <alignment vertical="center"/>
    </xf>
    <xf numFmtId="0" fontId="13" fillId="25" borderId="67" xfId="0" applyFont="1" applyFill="1" applyBorder="1">
      <alignment vertical="center"/>
    </xf>
    <xf numFmtId="0" fontId="13" fillId="25" borderId="94" xfId="0" applyFont="1" applyFill="1" applyBorder="1">
      <alignment vertical="center"/>
    </xf>
    <xf numFmtId="0" fontId="3" fillId="25" borderId="11" xfId="0" applyFont="1" applyFill="1" applyBorder="1" applyAlignment="1">
      <alignment horizontal="left" vertical="top" wrapText="1"/>
    </xf>
    <xf numFmtId="0" fontId="3" fillId="25" borderId="0" xfId="0" applyFont="1" applyFill="1" applyAlignment="1">
      <alignment horizontal="left" vertical="top" wrapText="1"/>
    </xf>
    <xf numFmtId="0" fontId="13" fillId="25" borderId="16" xfId="0" applyFont="1" applyFill="1" applyBorder="1">
      <alignment vertical="center"/>
    </xf>
    <xf numFmtId="0" fontId="27" fillId="25" borderId="11" xfId="0" applyFont="1" applyFill="1" applyBorder="1">
      <alignment vertical="center"/>
    </xf>
    <xf numFmtId="38" fontId="13" fillId="43" borderId="41" xfId="35" applyFont="1" applyFill="1" applyBorder="1" applyAlignment="1" applyProtection="1">
      <alignment horizontal="center" vertical="center"/>
      <protection locked="0"/>
    </xf>
    <xf numFmtId="0" fontId="13" fillId="25" borderId="11" xfId="0" applyFont="1" applyFill="1" applyBorder="1">
      <alignment vertical="center"/>
    </xf>
    <xf numFmtId="0" fontId="13" fillId="25" borderId="0" xfId="0" quotePrefix="1" applyFont="1" applyFill="1">
      <alignment vertical="center"/>
    </xf>
    <xf numFmtId="0" fontId="13" fillId="25" borderId="69" xfId="0" applyFont="1" applyFill="1" applyBorder="1">
      <alignment vertical="center"/>
    </xf>
    <xf numFmtId="0" fontId="13" fillId="25" borderId="21" xfId="0" quotePrefix="1" applyFont="1" applyFill="1" applyBorder="1">
      <alignment vertical="center"/>
    </xf>
    <xf numFmtId="0" fontId="13" fillId="25" borderId="21" xfId="0" applyFont="1" applyFill="1" applyBorder="1">
      <alignment vertical="center"/>
    </xf>
    <xf numFmtId="0" fontId="27" fillId="25" borderId="21" xfId="0" applyFont="1" applyFill="1" applyBorder="1">
      <alignment vertical="center"/>
    </xf>
    <xf numFmtId="0" fontId="13" fillId="25" borderId="51" xfId="0" applyFont="1" applyFill="1" applyBorder="1">
      <alignment vertical="center"/>
    </xf>
    <xf numFmtId="0" fontId="10" fillId="24" borderId="0" xfId="0" applyFont="1" applyFill="1" applyAlignment="1">
      <alignment horizontal="right" vertical="center"/>
    </xf>
    <xf numFmtId="0" fontId="27" fillId="25" borderId="10" xfId="28" applyNumberFormat="1" applyFont="1" applyFill="1" applyBorder="1" applyAlignment="1" applyProtection="1">
      <alignment horizontal="right" vertical="center"/>
    </xf>
    <xf numFmtId="9" fontId="27" fillId="25" borderId="10" xfId="28" applyFont="1" applyFill="1" applyBorder="1" applyAlignment="1" applyProtection="1">
      <alignment horizontal="right" vertical="center"/>
    </xf>
    <xf numFmtId="0" fontId="34" fillId="0" borderId="0" xfId="0" applyFont="1">
      <alignment vertical="center"/>
    </xf>
    <xf numFmtId="38" fontId="0" fillId="0" borderId="10" xfId="0" applyNumberFormat="1" applyBorder="1">
      <alignment vertical="center"/>
    </xf>
    <xf numFmtId="0" fontId="7" fillId="0" borderId="0" xfId="0" applyFont="1" applyAlignment="1">
      <alignment horizontal="right" vertical="center"/>
    </xf>
    <xf numFmtId="3" fontId="10" fillId="0" borderId="0" xfId="0" applyNumberFormat="1" applyFont="1" applyAlignment="1">
      <alignment horizontal="right" vertical="center" indent="1"/>
    </xf>
    <xf numFmtId="9" fontId="0" fillId="0" borderId="10" xfId="28" applyFont="1" applyBorder="1">
      <alignment vertical="center"/>
    </xf>
    <xf numFmtId="0" fontId="3" fillId="25" borderId="181" xfId="0" quotePrefix="1" applyFont="1" applyFill="1" applyBorder="1" applyAlignment="1" applyProtection="1">
      <alignment horizontal="center" vertical="center"/>
      <protection hidden="1"/>
    </xf>
    <xf numFmtId="0" fontId="3" fillId="25" borderId="108" xfId="0" quotePrefix="1" applyFont="1" applyFill="1" applyBorder="1" applyAlignment="1" applyProtection="1">
      <alignment horizontal="center" vertical="center"/>
      <protection hidden="1"/>
    </xf>
    <xf numFmtId="0" fontId="3" fillId="25" borderId="45" xfId="0" quotePrefix="1" applyFont="1" applyFill="1" applyBorder="1" applyAlignment="1" applyProtection="1">
      <alignment horizontal="center" vertical="center"/>
      <protection hidden="1"/>
    </xf>
    <xf numFmtId="0" fontId="0" fillId="25" borderId="45" xfId="0" quotePrefix="1" applyFill="1" applyBorder="1" applyAlignment="1" applyProtection="1">
      <alignment horizontal="center" vertical="center"/>
      <protection hidden="1"/>
    </xf>
    <xf numFmtId="0" fontId="3" fillId="25" borderId="45" xfId="0" applyFont="1" applyFill="1" applyBorder="1" applyAlignment="1" applyProtection="1">
      <alignment horizontal="center" vertical="center"/>
      <protection hidden="1"/>
    </xf>
    <xf numFmtId="0" fontId="0" fillId="25" borderId="45" xfId="0" applyFill="1" applyBorder="1" applyAlignment="1" applyProtection="1">
      <alignment horizontal="center" vertical="center"/>
      <protection hidden="1"/>
    </xf>
    <xf numFmtId="0" fontId="3" fillId="25" borderId="16" xfId="0" applyFont="1" applyFill="1" applyBorder="1" applyAlignment="1" applyProtection="1">
      <alignment horizontal="left" vertical="center"/>
      <protection hidden="1"/>
    </xf>
    <xf numFmtId="0" fontId="0" fillId="25" borderId="16" xfId="0" applyFill="1" applyBorder="1" applyAlignment="1" applyProtection="1">
      <alignment horizontal="center" vertical="center"/>
      <protection hidden="1"/>
    </xf>
    <xf numFmtId="0" fontId="0" fillId="25" borderId="18" xfId="0" applyFill="1" applyBorder="1" applyAlignment="1">
      <alignment horizontal="left" vertical="center" wrapText="1"/>
    </xf>
    <xf numFmtId="0" fontId="0" fillId="25" borderId="111" xfId="0" applyFill="1" applyBorder="1" applyAlignment="1">
      <alignment horizontal="left" vertical="center" wrapText="1"/>
    </xf>
    <xf numFmtId="9" fontId="3" fillId="45" borderId="218" xfId="28" applyFont="1" applyFill="1" applyBorder="1" applyAlignment="1" applyProtection="1">
      <alignment horizontal="center" vertical="center"/>
    </xf>
    <xf numFmtId="9" fontId="3" fillId="45" borderId="10" xfId="28" applyFont="1" applyFill="1" applyBorder="1" applyAlignment="1" applyProtection="1">
      <alignment horizontal="center" vertical="center"/>
    </xf>
    <xf numFmtId="9" fontId="3" fillId="45" borderId="10" xfId="0" applyNumberFormat="1" applyFont="1" applyFill="1" applyBorder="1" applyAlignment="1">
      <alignment horizontal="center" vertical="center"/>
    </xf>
    <xf numFmtId="0" fontId="41" fillId="24" borderId="0" xfId="0" applyFont="1" applyFill="1" applyAlignment="1">
      <alignment horizontal="center" vertical="center"/>
    </xf>
    <xf numFmtId="0" fontId="0" fillId="25" borderId="114" xfId="0" applyFill="1" applyBorder="1" applyAlignment="1">
      <alignment vertical="center" wrapText="1"/>
    </xf>
    <xf numFmtId="0" fontId="0" fillId="25" borderId="134" xfId="0" applyFill="1" applyBorder="1" applyAlignment="1">
      <alignment vertical="center" wrapText="1"/>
    </xf>
    <xf numFmtId="0" fontId="3" fillId="25" borderId="11" xfId="0" applyFont="1" applyFill="1" applyBorder="1" applyProtection="1">
      <alignment vertical="center"/>
      <protection hidden="1"/>
    </xf>
    <xf numFmtId="0" fontId="0" fillId="25" borderId="0" xfId="0" applyFill="1" applyAlignment="1">
      <alignment vertical="center" wrapText="1"/>
    </xf>
    <xf numFmtId="0" fontId="0" fillId="25" borderId="16" xfId="0" applyFill="1" applyBorder="1" applyAlignment="1">
      <alignment vertical="center" wrapText="1"/>
    </xf>
    <xf numFmtId="0" fontId="25" fillId="24" borderId="0" xfId="0" applyFont="1" applyFill="1" applyAlignment="1" applyProtection="1">
      <alignment horizontal="right" vertical="center"/>
      <protection hidden="1"/>
    </xf>
    <xf numFmtId="0" fontId="3" fillId="25" borderId="39" xfId="0" applyFont="1" applyFill="1" applyBorder="1">
      <alignment vertical="center"/>
    </xf>
    <xf numFmtId="0" fontId="3" fillId="25" borderId="39" xfId="0" applyFont="1" applyFill="1" applyBorder="1" applyAlignment="1">
      <alignment vertical="center" wrapText="1"/>
    </xf>
    <xf numFmtId="0" fontId="3" fillId="25" borderId="17" xfId="0" applyFont="1" applyFill="1" applyBorder="1" applyAlignment="1">
      <alignment vertical="center" wrapText="1"/>
    </xf>
    <xf numFmtId="2" fontId="1" fillId="25" borderId="10" xfId="51" applyNumberFormat="1" applyFill="1" applyBorder="1" applyAlignment="1">
      <alignment vertical="center"/>
    </xf>
    <xf numFmtId="2" fontId="1" fillId="25" borderId="48" xfId="51" applyNumberFormat="1" applyFill="1" applyBorder="1" applyAlignment="1">
      <alignment vertical="center"/>
    </xf>
    <xf numFmtId="2" fontId="1" fillId="25" borderId="162" xfId="51" applyNumberFormat="1" applyFill="1" applyBorder="1" applyAlignment="1">
      <alignment vertical="center"/>
    </xf>
    <xf numFmtId="2" fontId="1" fillId="25" borderId="165" xfId="51" applyNumberFormat="1" applyFill="1" applyBorder="1" applyAlignment="1">
      <alignment vertical="center"/>
    </xf>
    <xf numFmtId="0" fontId="1" fillId="25" borderId="17" xfId="51" applyFill="1" applyBorder="1" applyAlignment="1">
      <alignment vertical="center"/>
    </xf>
    <xf numFmtId="0" fontId="1" fillId="25" borderId="94" xfId="51" applyFill="1" applyBorder="1" applyAlignment="1">
      <alignment vertical="center"/>
    </xf>
    <xf numFmtId="176" fontId="1" fillId="25" borderId="0" xfId="51" applyNumberFormat="1" applyFill="1" applyAlignment="1">
      <alignment vertical="center"/>
    </xf>
    <xf numFmtId="178" fontId="1" fillId="25" borderId="0" xfId="51" applyNumberFormat="1" applyFill="1" applyAlignment="1">
      <alignment horizontal="right" vertical="center"/>
    </xf>
    <xf numFmtId="0" fontId="1" fillId="45" borderId="0" xfId="51" applyFill="1" applyAlignment="1">
      <alignment vertical="center"/>
    </xf>
    <xf numFmtId="178" fontId="1" fillId="45" borderId="0" xfId="51" applyNumberFormat="1" applyFill="1" applyAlignment="1">
      <alignment horizontal="right" vertical="center"/>
    </xf>
    <xf numFmtId="2" fontId="1" fillId="45" borderId="10" xfId="51" applyNumberFormat="1" applyFill="1" applyBorder="1" applyAlignment="1">
      <alignment vertical="center"/>
    </xf>
    <xf numFmtId="0" fontId="1" fillId="45" borderId="0" xfId="51" applyFill="1" applyAlignment="1" applyProtection="1">
      <alignment vertical="center"/>
      <protection hidden="1"/>
    </xf>
    <xf numFmtId="178" fontId="1" fillId="25" borderId="41" xfId="51" applyNumberFormat="1" applyFill="1" applyBorder="1" applyAlignment="1">
      <alignment horizontal="right" vertical="center"/>
    </xf>
    <xf numFmtId="177" fontId="1" fillId="25" borderId="10" xfId="51" applyNumberFormat="1" applyFill="1" applyBorder="1" applyAlignment="1">
      <alignment vertical="center"/>
    </xf>
    <xf numFmtId="177" fontId="1" fillId="25" borderId="48" xfId="51" applyNumberFormat="1" applyFill="1" applyBorder="1" applyAlignment="1">
      <alignment vertical="center"/>
    </xf>
    <xf numFmtId="177" fontId="1" fillId="25" borderId="162" xfId="51" applyNumberFormat="1" applyFill="1" applyBorder="1" applyAlignment="1">
      <alignment vertical="center"/>
    </xf>
    <xf numFmtId="177" fontId="1" fillId="25" borderId="165" xfId="51" applyNumberFormat="1" applyFill="1" applyBorder="1" applyAlignment="1">
      <alignment vertical="center"/>
    </xf>
    <xf numFmtId="0" fontId="5" fillId="25" borderId="0" xfId="51" applyFont="1" applyFill="1" applyAlignment="1">
      <alignment vertical="center"/>
    </xf>
    <xf numFmtId="0" fontId="1" fillId="25" borderId="10" xfId="51" applyFill="1" applyBorder="1" applyAlignment="1">
      <alignment vertical="center"/>
    </xf>
    <xf numFmtId="0" fontId="1" fillId="25" borderId="25" xfId="51" applyFill="1" applyBorder="1" applyAlignment="1">
      <alignment vertical="center"/>
    </xf>
    <xf numFmtId="2" fontId="13" fillId="25" borderId="41" xfId="44" applyNumberFormat="1" applyFont="1" applyFill="1" applyBorder="1" applyAlignment="1">
      <alignment horizontal="right" vertical="center"/>
    </xf>
    <xf numFmtId="0" fontId="13" fillId="25" borderId="0" xfId="0" applyFont="1" applyFill="1" applyAlignment="1">
      <alignment horizontal="right"/>
    </xf>
    <xf numFmtId="38" fontId="13" fillId="25" borderId="10" xfId="48" applyFont="1" applyFill="1" applyBorder="1" applyAlignment="1" applyProtection="1">
      <alignment vertical="center"/>
    </xf>
    <xf numFmtId="177" fontId="13" fillId="25" borderId="10" xfId="51" applyNumberFormat="1" applyFont="1" applyFill="1" applyBorder="1" applyAlignment="1" applyProtection="1">
      <alignment vertical="center"/>
      <protection hidden="1"/>
    </xf>
    <xf numFmtId="187" fontId="13" fillId="25" borderId="10" xfId="51" applyNumberFormat="1" applyFont="1" applyFill="1" applyBorder="1" applyAlignment="1" applyProtection="1">
      <alignment vertical="center"/>
      <protection hidden="1"/>
    </xf>
    <xf numFmtId="4" fontId="13" fillId="25" borderId="41" xfId="48" applyNumberFormat="1" applyFont="1" applyFill="1" applyBorder="1" applyAlignment="1">
      <alignment horizontal="right" vertical="center"/>
    </xf>
    <xf numFmtId="0" fontId="1" fillId="25" borderId="48" xfId="51" applyFill="1" applyBorder="1" applyAlignment="1">
      <alignment horizontal="left" vertical="center"/>
    </xf>
    <xf numFmtId="187" fontId="1" fillId="25" borderId="87" xfId="51" applyNumberFormat="1" applyFill="1" applyBorder="1" applyAlignment="1">
      <alignment vertical="center"/>
    </xf>
    <xf numFmtId="187" fontId="1" fillId="25" borderId="83" xfId="51" applyNumberFormat="1" applyFill="1" applyBorder="1" applyAlignment="1">
      <alignment vertical="center"/>
    </xf>
    <xf numFmtId="0" fontId="5" fillId="27" borderId="168" xfId="51" applyFont="1" applyFill="1" applyBorder="1" applyAlignment="1">
      <alignment vertical="center"/>
    </xf>
    <xf numFmtId="0" fontId="13" fillId="27" borderId="96" xfId="51" applyFont="1" applyFill="1" applyBorder="1" applyAlignment="1">
      <alignment horizontal="left" vertical="center"/>
    </xf>
    <xf numFmtId="0" fontId="13" fillId="27" borderId="96" xfId="51" applyFont="1" applyFill="1" applyBorder="1" applyAlignment="1">
      <alignment vertical="center"/>
    </xf>
    <xf numFmtId="0" fontId="1" fillId="27" borderId="169" xfId="51" applyFill="1" applyBorder="1" applyAlignment="1">
      <alignment vertical="center"/>
    </xf>
    <xf numFmtId="0" fontId="1" fillId="25" borderId="78" xfId="51" applyFill="1" applyBorder="1" applyAlignment="1">
      <alignment vertical="center"/>
    </xf>
    <xf numFmtId="0" fontId="1" fillId="25" borderId="19" xfId="51" applyFill="1" applyBorder="1" applyAlignment="1">
      <alignment vertical="center"/>
    </xf>
    <xf numFmtId="177" fontId="5" fillId="27" borderId="126" xfId="51" applyNumberFormat="1" applyFont="1" applyFill="1" applyBorder="1" applyAlignment="1">
      <alignment horizontal="right" vertical="center"/>
    </xf>
    <xf numFmtId="0" fontId="1" fillId="36" borderId="48" xfId="51" applyFill="1" applyBorder="1" applyAlignment="1">
      <alignment horizontal="left"/>
    </xf>
    <xf numFmtId="189" fontId="1" fillId="36" borderId="17" xfId="51" applyNumberFormat="1" applyFill="1" applyBorder="1" applyAlignment="1">
      <alignment horizontal="left"/>
    </xf>
    <xf numFmtId="0" fontId="1" fillId="36" borderId="10" xfId="51" applyFill="1" applyBorder="1" applyAlignment="1">
      <alignment horizontal="left"/>
    </xf>
    <xf numFmtId="0" fontId="1" fillId="25" borderId="10" xfId="51" applyFill="1" applyBorder="1" applyAlignment="1">
      <alignment horizontal="left"/>
    </xf>
    <xf numFmtId="0" fontId="1" fillId="25" borderId="10" xfId="51" applyFill="1" applyBorder="1" applyAlignment="1">
      <alignment horizontal="center"/>
    </xf>
    <xf numFmtId="0" fontId="1" fillId="36" borderId="66" xfId="51" applyFill="1" applyBorder="1" applyAlignment="1">
      <alignment horizontal="left"/>
    </xf>
    <xf numFmtId="189" fontId="1" fillId="36" borderId="94" xfId="51" applyNumberFormat="1" applyFill="1" applyBorder="1" applyAlignment="1">
      <alignment horizontal="center"/>
    </xf>
    <xf numFmtId="0" fontId="1" fillId="36" borderId="40" xfId="51" applyFill="1" applyBorder="1" applyAlignment="1">
      <alignment horizontal="center"/>
    </xf>
    <xf numFmtId="177" fontId="1" fillId="0" borderId="10" xfId="0" applyNumberFormat="1" applyFont="1" applyBorder="1">
      <alignment vertical="center"/>
    </xf>
    <xf numFmtId="0" fontId="1" fillId="36" borderId="11" xfId="51" applyFill="1" applyBorder="1" applyAlignment="1">
      <alignment horizontal="center" vertical="center"/>
    </xf>
    <xf numFmtId="189" fontId="1" fillId="36" borderId="16" xfId="51" applyNumberFormat="1" applyFill="1" applyBorder="1" applyAlignment="1">
      <alignment horizontal="center" vertical="center"/>
    </xf>
    <xf numFmtId="0" fontId="1" fillId="36" borderId="116" xfId="51" applyFill="1" applyBorder="1" applyAlignment="1">
      <alignment horizontal="center"/>
    </xf>
    <xf numFmtId="0" fontId="1" fillId="36" borderId="104" xfId="51" applyFill="1" applyBorder="1" applyAlignment="1">
      <alignment horizontal="center"/>
    </xf>
    <xf numFmtId="0" fontId="1" fillId="36" borderId="69" xfId="51" applyFill="1" applyBorder="1" applyAlignment="1">
      <alignment horizontal="center" vertical="center"/>
    </xf>
    <xf numFmtId="189" fontId="1" fillId="36" borderId="51" xfId="51" applyNumberFormat="1" applyFill="1" applyBorder="1" applyAlignment="1">
      <alignment horizontal="center" vertical="center"/>
    </xf>
    <xf numFmtId="177" fontId="5" fillId="0" borderId="10" xfId="0" applyNumberFormat="1" applyFont="1" applyBorder="1">
      <alignment vertical="center"/>
    </xf>
    <xf numFmtId="0" fontId="1" fillId="38" borderId="39" xfId="51" applyFill="1" applyBorder="1" applyAlignment="1">
      <alignment horizontal="center"/>
    </xf>
    <xf numFmtId="0" fontId="1" fillId="38" borderId="39" xfId="51" applyFill="1" applyBorder="1" applyAlignment="1">
      <alignment horizontal="left"/>
    </xf>
    <xf numFmtId="0" fontId="1" fillId="38" borderId="17" xfId="51" applyFill="1" applyBorder="1"/>
    <xf numFmtId="0" fontId="1" fillId="38" borderId="48" xfId="51" applyFill="1" applyBorder="1" applyAlignment="1" applyProtection="1">
      <alignment horizontal="left" vertical="center"/>
      <protection hidden="1"/>
    </xf>
    <xf numFmtId="0" fontId="1" fillId="38" borderId="17" xfId="51" applyFill="1" applyBorder="1" applyAlignment="1">
      <alignment horizontal="left"/>
    </xf>
    <xf numFmtId="0" fontId="1" fillId="38" borderId="10" xfId="51" applyFill="1" applyBorder="1" applyAlignment="1">
      <alignment horizontal="center"/>
    </xf>
    <xf numFmtId="178" fontId="1" fillId="24" borderId="10" xfId="0" applyNumberFormat="1" applyFont="1" applyFill="1" applyBorder="1">
      <alignment vertical="center"/>
    </xf>
    <xf numFmtId="178" fontId="5" fillId="24" borderId="10" xfId="0" applyNumberFormat="1" applyFont="1" applyFill="1" applyBorder="1">
      <alignment vertical="center"/>
    </xf>
    <xf numFmtId="177" fontId="1" fillId="24" borderId="10" xfId="50" applyNumberFormat="1" applyFill="1" applyBorder="1">
      <alignment vertical="center"/>
    </xf>
    <xf numFmtId="0" fontId="1" fillId="0" borderId="94" xfId="51" applyBorder="1"/>
    <xf numFmtId="0" fontId="7" fillId="0" borderId="11" xfId="51" applyFont="1" applyBorder="1"/>
    <xf numFmtId="222" fontId="7" fillId="0" borderId="11" xfId="51" applyNumberFormat="1" applyFont="1" applyBorder="1"/>
    <xf numFmtId="222" fontId="7" fillId="0" borderId="69" xfId="51" applyNumberFormat="1" applyFont="1" applyBorder="1"/>
    <xf numFmtId="208" fontId="13" fillId="0" borderId="10" xfId="47" applyNumberFormat="1" applyFont="1" applyFill="1" applyBorder="1" applyAlignment="1"/>
    <xf numFmtId="208" fontId="1" fillId="0" borderId="0" xfId="0" applyNumberFormat="1" applyFont="1">
      <alignment vertical="center"/>
    </xf>
    <xf numFmtId="0" fontId="13" fillId="72" borderId="40" xfId="0" applyFont="1" applyFill="1" applyBorder="1">
      <alignment vertical="center"/>
    </xf>
    <xf numFmtId="38" fontId="13" fillId="0" borderId="10" xfId="48" applyFont="1" applyFill="1" applyBorder="1">
      <alignment vertical="center"/>
    </xf>
    <xf numFmtId="0" fontId="13" fillId="0" borderId="10" xfId="51" applyFont="1" applyBorder="1"/>
    <xf numFmtId="0" fontId="3" fillId="0" borderId="199" xfId="0" applyFont="1" applyBorder="1" applyAlignment="1">
      <alignment horizontal="left" vertical="center" wrapText="1"/>
    </xf>
    <xf numFmtId="0" fontId="3" fillId="0" borderId="188" xfId="0" applyFont="1" applyBorder="1" applyAlignment="1">
      <alignment horizontal="left" vertical="center" wrapText="1"/>
    </xf>
    <xf numFmtId="180" fontId="13" fillId="26" borderId="208" xfId="44" applyNumberFormat="1" applyFont="1" applyFill="1" applyBorder="1" applyAlignment="1">
      <alignment horizontal="center" vertical="center"/>
    </xf>
    <xf numFmtId="180" fontId="13" fillId="26" borderId="209" xfId="44" applyNumberFormat="1" applyFont="1" applyFill="1" applyBorder="1" applyAlignment="1">
      <alignment horizontal="center" vertical="center"/>
    </xf>
    <xf numFmtId="0" fontId="13" fillId="26" borderId="208" xfId="0" applyFont="1" applyFill="1" applyBorder="1" applyAlignment="1">
      <alignment horizontal="center" vertical="center"/>
    </xf>
    <xf numFmtId="0" fontId="13" fillId="26" borderId="209" xfId="0" applyFont="1" applyFill="1" applyBorder="1" applyAlignment="1">
      <alignment horizontal="center" vertical="center"/>
    </xf>
    <xf numFmtId="0" fontId="3" fillId="0" borderId="0" xfId="0" applyFont="1" applyAlignment="1">
      <alignment horizontal="left" vertical="center"/>
    </xf>
    <xf numFmtId="0" fontId="3" fillId="24" borderId="0" xfId="0" applyFont="1" applyFill="1" applyAlignment="1">
      <alignment horizontal="left" vertical="center"/>
    </xf>
    <xf numFmtId="0" fontId="13" fillId="24" borderId="48" xfId="0" applyFont="1" applyFill="1" applyBorder="1" applyAlignment="1" applyProtection="1">
      <alignment horizontal="left" vertical="center" shrinkToFit="1"/>
      <protection locked="0"/>
    </xf>
    <xf numFmtId="0" fontId="13" fillId="24" borderId="17" xfId="0" applyFont="1" applyFill="1" applyBorder="1" applyAlignment="1" applyProtection="1">
      <alignment horizontal="left" vertical="center" shrinkToFit="1"/>
      <protection locked="0"/>
    </xf>
    <xf numFmtId="0" fontId="13" fillId="24" borderId="48" xfId="0" applyFont="1" applyFill="1" applyBorder="1" applyAlignment="1" applyProtection="1">
      <alignment horizontal="left" vertical="center"/>
      <protection locked="0"/>
    </xf>
    <xf numFmtId="0" fontId="13" fillId="24" borderId="39" xfId="0" applyFont="1" applyFill="1" applyBorder="1" applyAlignment="1" applyProtection="1">
      <alignment horizontal="left" vertical="center"/>
      <protection locked="0"/>
    </xf>
    <xf numFmtId="181" fontId="13" fillId="24" borderId="66" xfId="0" applyNumberFormat="1" applyFont="1" applyFill="1" applyBorder="1" applyAlignment="1" applyProtection="1">
      <alignment horizontal="left" vertical="center" wrapText="1"/>
      <protection locked="0"/>
    </xf>
    <xf numFmtId="181" fontId="13" fillId="24" borderId="67" xfId="0" applyNumberFormat="1" applyFont="1" applyFill="1" applyBorder="1" applyAlignment="1" applyProtection="1">
      <alignment horizontal="left" vertical="center" wrapText="1"/>
      <protection locked="0"/>
    </xf>
    <xf numFmtId="181" fontId="13" fillId="24" borderId="194" xfId="0" applyNumberFormat="1" applyFont="1" applyFill="1" applyBorder="1" applyAlignment="1" applyProtection="1">
      <alignment horizontal="left" vertical="center" wrapText="1"/>
      <protection locked="0"/>
    </xf>
    <xf numFmtId="181" fontId="13" fillId="24" borderId="69" xfId="0" applyNumberFormat="1" applyFont="1" applyFill="1" applyBorder="1" applyAlignment="1" applyProtection="1">
      <alignment horizontal="left" vertical="center" wrapText="1"/>
      <protection locked="0"/>
    </xf>
    <xf numFmtId="181" fontId="13" fillId="24" borderId="21" xfId="0" applyNumberFormat="1" applyFont="1" applyFill="1" applyBorder="1" applyAlignment="1" applyProtection="1">
      <alignment horizontal="left" vertical="center" wrapText="1"/>
      <protection locked="0"/>
    </xf>
    <xf numFmtId="181" fontId="13" fillId="24" borderId="195" xfId="0" applyNumberFormat="1" applyFont="1" applyFill="1" applyBorder="1" applyAlignment="1" applyProtection="1">
      <alignment horizontal="left" vertical="center" wrapText="1"/>
      <protection locked="0"/>
    </xf>
    <xf numFmtId="0" fontId="20" fillId="24" borderId="196" xfId="0" applyFont="1" applyFill="1" applyBorder="1" applyAlignment="1" applyProtection="1">
      <alignment horizontal="center" vertical="center"/>
      <protection locked="0"/>
    </xf>
    <xf numFmtId="0" fontId="20" fillId="24" borderId="197" xfId="0" applyFont="1" applyFill="1" applyBorder="1" applyAlignment="1" applyProtection="1">
      <alignment horizontal="center" vertical="center"/>
      <protection locked="0"/>
    </xf>
    <xf numFmtId="0" fontId="20" fillId="24" borderId="198" xfId="0" applyFont="1" applyFill="1" applyBorder="1" applyAlignment="1" applyProtection="1">
      <alignment horizontal="center" vertical="center"/>
      <protection locked="0"/>
    </xf>
    <xf numFmtId="0" fontId="47" fillId="0" borderId="23" xfId="0" applyFont="1" applyBorder="1" applyAlignment="1" applyProtection="1">
      <alignment horizontal="left" vertical="center" wrapText="1"/>
      <protection hidden="1"/>
    </xf>
    <xf numFmtId="0" fontId="47" fillId="0" borderId="0" xfId="0" applyFont="1" applyAlignment="1" applyProtection="1">
      <alignment horizontal="left" vertical="center" wrapText="1"/>
      <protection hidden="1"/>
    </xf>
    <xf numFmtId="0" fontId="47" fillId="0" borderId="20" xfId="0" applyFont="1" applyBorder="1" applyAlignment="1" applyProtection="1">
      <alignment horizontal="left" vertical="center" wrapText="1"/>
      <protection hidden="1"/>
    </xf>
    <xf numFmtId="0" fontId="47" fillId="0" borderId="24" xfId="0" applyFont="1" applyBorder="1" applyAlignment="1" applyProtection="1">
      <alignment horizontal="left" vertical="center" wrapText="1"/>
      <protection hidden="1"/>
    </xf>
    <xf numFmtId="0" fontId="47" fillId="0" borderId="19" xfId="0" applyFont="1" applyBorder="1" applyAlignment="1" applyProtection="1">
      <alignment horizontal="left" vertical="center" wrapText="1"/>
      <protection hidden="1"/>
    </xf>
    <xf numFmtId="0" fontId="47" fillId="0" borderId="25" xfId="0" applyFont="1" applyBorder="1" applyAlignment="1" applyProtection="1">
      <alignment horizontal="left" vertical="center" wrapText="1"/>
      <protection hidden="1"/>
    </xf>
    <xf numFmtId="181" fontId="13" fillId="0" borderId="192" xfId="0" applyNumberFormat="1" applyFont="1" applyBorder="1" applyAlignment="1" applyProtection="1">
      <alignment horizontal="center" vertical="center"/>
      <protection hidden="1"/>
    </xf>
    <xf numFmtId="181" fontId="13" fillId="0" borderId="96" xfId="0" applyNumberFormat="1" applyFont="1" applyBorder="1" applyAlignment="1" applyProtection="1">
      <alignment horizontal="center" vertical="center"/>
      <protection hidden="1"/>
    </xf>
    <xf numFmtId="181" fontId="13" fillId="0" borderId="193" xfId="0" applyNumberFormat="1" applyFont="1" applyBorder="1" applyAlignment="1" applyProtection="1">
      <alignment horizontal="center" vertical="center"/>
      <protection hidden="1"/>
    </xf>
    <xf numFmtId="0" fontId="3" fillId="24" borderId="24" xfId="0" applyFont="1" applyFill="1" applyBorder="1" applyAlignment="1" applyProtection="1">
      <alignment horizontal="left" vertical="top" wrapText="1"/>
      <protection hidden="1"/>
    </xf>
    <xf numFmtId="0" fontId="3" fillId="24" borderId="19" xfId="0" applyFont="1" applyFill="1" applyBorder="1" applyAlignment="1" applyProtection="1">
      <alignment horizontal="left" vertical="top" wrapText="1"/>
      <protection hidden="1"/>
    </xf>
    <xf numFmtId="0" fontId="3" fillId="24" borderId="125" xfId="0" applyFont="1" applyFill="1" applyBorder="1" applyAlignment="1" applyProtection="1">
      <alignment horizontal="left" vertical="top" wrapText="1"/>
      <protection hidden="1"/>
    </xf>
    <xf numFmtId="3" fontId="13" fillId="0" borderId="147" xfId="0" applyNumberFormat="1" applyFont="1" applyBorder="1" applyAlignment="1" applyProtection="1">
      <alignment horizontal="center" vertical="center" shrinkToFit="1"/>
      <protection hidden="1"/>
    </xf>
    <xf numFmtId="3" fontId="13" fillId="0" borderId="67" xfId="0" applyNumberFormat="1" applyFont="1" applyBorder="1" applyAlignment="1" applyProtection="1">
      <alignment horizontal="center" vertical="center" shrinkToFit="1"/>
      <protection hidden="1"/>
    </xf>
    <xf numFmtId="3" fontId="13" fillId="0" borderId="189" xfId="0" applyNumberFormat="1" applyFont="1" applyBorder="1" applyAlignment="1" applyProtection="1">
      <alignment horizontal="center" vertical="center" shrinkToFit="1"/>
      <protection hidden="1"/>
    </xf>
    <xf numFmtId="3" fontId="13" fillId="0" borderId="136" xfId="0" applyNumberFormat="1" applyFont="1" applyBorder="1" applyAlignment="1" applyProtection="1">
      <alignment horizontal="center" vertical="center" shrinkToFit="1"/>
      <protection hidden="1"/>
    </xf>
    <xf numFmtId="3" fontId="13" fillId="0" borderId="0" xfId="0" applyNumberFormat="1" applyFont="1" applyAlignment="1" applyProtection="1">
      <alignment horizontal="center" vertical="center" shrinkToFit="1"/>
      <protection hidden="1"/>
    </xf>
    <xf numFmtId="3" fontId="13" fillId="0" borderId="190" xfId="0" applyNumberFormat="1" applyFont="1" applyBorder="1" applyAlignment="1" applyProtection="1">
      <alignment horizontal="center" vertical="center" shrinkToFit="1"/>
      <protection hidden="1"/>
    </xf>
    <xf numFmtId="3" fontId="13" fillId="0" borderId="191" xfId="0" applyNumberFormat="1" applyFont="1" applyBorder="1" applyAlignment="1" applyProtection="1">
      <alignment horizontal="center" vertical="center"/>
      <protection hidden="1"/>
    </xf>
    <xf numFmtId="3" fontId="13" fillId="0" borderId="21" xfId="0" applyNumberFormat="1" applyFont="1" applyBorder="1" applyAlignment="1" applyProtection="1">
      <alignment horizontal="center" vertical="center"/>
      <protection hidden="1"/>
    </xf>
    <xf numFmtId="3" fontId="13" fillId="0" borderId="188" xfId="0" applyNumberFormat="1" applyFont="1" applyBorder="1" applyAlignment="1" applyProtection="1">
      <alignment horizontal="center" vertical="center"/>
      <protection hidden="1"/>
    </xf>
    <xf numFmtId="0" fontId="13" fillId="0" borderId="147" xfId="0" applyFont="1" applyBorder="1" applyAlignment="1" applyProtection="1">
      <alignment horizontal="center" vertical="center"/>
      <protection hidden="1"/>
    </xf>
    <xf numFmtId="0" fontId="13" fillId="0" borderId="67" xfId="0" applyFont="1" applyBorder="1" applyAlignment="1" applyProtection="1">
      <alignment horizontal="center" vertical="center"/>
      <protection hidden="1"/>
    </xf>
    <xf numFmtId="0" fontId="13" fillId="0" borderId="189" xfId="0" applyFont="1" applyBorder="1" applyAlignment="1" applyProtection="1">
      <alignment horizontal="center" vertical="center"/>
      <protection hidden="1"/>
    </xf>
    <xf numFmtId="0" fontId="13" fillId="0" borderId="136" xfId="0" applyFont="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13" fillId="0" borderId="190" xfId="0" applyFont="1" applyBorder="1" applyAlignment="1" applyProtection="1">
      <alignment horizontal="center" vertical="center"/>
      <protection hidden="1"/>
    </xf>
    <xf numFmtId="0" fontId="3" fillId="24" borderId="78" xfId="0" applyFont="1" applyFill="1" applyBorder="1" applyAlignment="1" applyProtection="1">
      <alignment horizontal="left" vertical="top" wrapText="1"/>
      <protection hidden="1"/>
    </xf>
    <xf numFmtId="0" fontId="143" fillId="0" borderId="23" xfId="0" applyFont="1" applyBorder="1" applyAlignment="1" applyProtection="1">
      <alignment horizontal="left" vertical="top" wrapText="1"/>
      <protection hidden="1"/>
    </xf>
    <xf numFmtId="0" fontId="13" fillId="0" borderId="191" xfId="0" applyFont="1" applyBorder="1" applyAlignment="1" applyProtection="1">
      <alignment horizontal="center" vertical="center"/>
      <protection hidden="1"/>
    </xf>
    <xf numFmtId="0" fontId="13" fillId="0" borderId="21" xfId="0" applyFont="1" applyBorder="1" applyAlignment="1" applyProtection="1">
      <alignment horizontal="center" vertical="center"/>
      <protection hidden="1"/>
    </xf>
    <xf numFmtId="0" fontId="13" fillId="0" borderId="188" xfId="0" applyFont="1" applyBorder="1" applyAlignment="1" applyProtection="1">
      <alignment horizontal="center" vertical="center"/>
      <protection hidden="1"/>
    </xf>
    <xf numFmtId="0" fontId="3" fillId="24" borderId="25" xfId="0" applyFont="1" applyFill="1" applyBorder="1" applyAlignment="1" applyProtection="1">
      <alignment horizontal="left" vertical="top" wrapText="1"/>
      <protection hidden="1"/>
    </xf>
    <xf numFmtId="0" fontId="3" fillId="0" borderId="118" xfId="0" applyFont="1" applyBorder="1" applyAlignment="1">
      <alignment horizontal="left" vertical="top" wrapText="1"/>
    </xf>
    <xf numFmtId="0" fontId="3" fillId="0" borderId="21" xfId="0" applyFont="1" applyBorder="1" applyAlignment="1">
      <alignment horizontal="left" vertical="top" wrapText="1"/>
    </xf>
    <xf numFmtId="0" fontId="3" fillId="0" borderId="51" xfId="0" applyFont="1" applyBorder="1" applyAlignment="1">
      <alignment horizontal="left" vertical="top" wrapText="1"/>
    </xf>
    <xf numFmtId="0" fontId="3" fillId="24" borderId="21" xfId="0" applyFont="1" applyFill="1" applyBorder="1" applyAlignment="1" applyProtection="1">
      <alignment horizontal="left" vertical="top" wrapText="1"/>
      <protection hidden="1"/>
    </xf>
    <xf numFmtId="0" fontId="3" fillId="24" borderId="22" xfId="0" applyFont="1" applyFill="1" applyBorder="1" applyAlignment="1" applyProtection="1">
      <alignment horizontal="left" vertical="top" wrapText="1"/>
      <protection hidden="1"/>
    </xf>
    <xf numFmtId="0" fontId="3" fillId="24" borderId="118" xfId="0" applyFont="1" applyFill="1" applyBorder="1" applyAlignment="1" applyProtection="1">
      <alignment horizontal="left" vertical="top" wrapText="1"/>
      <protection hidden="1"/>
    </xf>
    <xf numFmtId="0" fontId="3" fillId="24" borderId="51" xfId="0" applyFont="1" applyFill="1" applyBorder="1" applyAlignment="1" applyProtection="1">
      <alignment horizontal="left" vertical="top" wrapText="1"/>
      <protection hidden="1"/>
    </xf>
    <xf numFmtId="0" fontId="3" fillId="24" borderId="69" xfId="0" applyFont="1" applyFill="1" applyBorder="1" applyAlignment="1" applyProtection="1">
      <alignment horizontal="left" vertical="top" wrapText="1"/>
      <protection hidden="1"/>
    </xf>
    <xf numFmtId="55" fontId="13" fillId="0" borderId="199" xfId="0" applyNumberFormat="1" applyFont="1" applyBorder="1" applyAlignment="1" applyProtection="1">
      <alignment horizontal="center" vertical="center"/>
      <protection hidden="1"/>
    </xf>
    <xf numFmtId="55" fontId="13" fillId="0" borderId="39" xfId="0" applyNumberFormat="1" applyFont="1" applyBorder="1" applyAlignment="1" applyProtection="1">
      <alignment horizontal="center" vertical="center"/>
      <protection hidden="1"/>
    </xf>
    <xf numFmtId="55" fontId="13" fillId="0" borderId="200" xfId="0" applyNumberFormat="1" applyFont="1" applyBorder="1" applyAlignment="1" applyProtection="1">
      <alignment horizontal="center" vertical="center"/>
      <protection hidden="1"/>
    </xf>
    <xf numFmtId="3" fontId="13" fillId="0" borderId="201" xfId="0" applyNumberFormat="1" applyFont="1" applyBorder="1" applyAlignment="1" applyProtection="1">
      <alignment horizontal="center" vertical="center"/>
      <protection hidden="1"/>
    </xf>
    <xf numFmtId="3" fontId="13" fillId="0" borderId="202" xfId="0" applyNumberFormat="1" applyFont="1" applyBorder="1" applyAlignment="1" applyProtection="1">
      <alignment horizontal="center" vertical="center"/>
      <protection hidden="1"/>
    </xf>
    <xf numFmtId="3" fontId="13" fillId="0" borderId="203" xfId="0" applyNumberFormat="1" applyFont="1" applyBorder="1" applyAlignment="1" applyProtection="1">
      <alignment horizontal="center" vertical="center"/>
      <protection hidden="1"/>
    </xf>
    <xf numFmtId="0" fontId="33" fillId="0" borderId="204" xfId="29" applyNumberFormat="1" applyFont="1" applyFill="1" applyBorder="1" applyAlignment="1" applyProtection="1">
      <alignment horizontal="center" vertical="center"/>
      <protection hidden="1"/>
    </xf>
    <xf numFmtId="0" fontId="33" fillId="0" borderId="205" xfId="29" applyNumberFormat="1" applyFont="1" applyFill="1" applyBorder="1" applyAlignment="1" applyProtection="1">
      <alignment horizontal="center" vertical="center"/>
      <protection hidden="1"/>
    </xf>
    <xf numFmtId="0" fontId="33" fillId="0" borderId="206" xfId="29" applyNumberFormat="1" applyFont="1" applyFill="1" applyBorder="1" applyAlignment="1" applyProtection="1">
      <alignment horizontal="center" vertical="center"/>
      <protection hidden="1"/>
    </xf>
    <xf numFmtId="0" fontId="18" fillId="0" borderId="140" xfId="0" applyFont="1" applyBorder="1" applyAlignment="1" applyProtection="1">
      <alignment horizontal="center" vertical="center"/>
      <protection hidden="1"/>
    </xf>
    <xf numFmtId="0" fontId="18" fillId="0" borderId="141" xfId="0" applyFont="1" applyBorder="1" applyAlignment="1" applyProtection="1">
      <alignment horizontal="center" vertical="center"/>
      <protection hidden="1"/>
    </xf>
    <xf numFmtId="0" fontId="18" fillId="0" borderId="143" xfId="0" applyFont="1" applyBorder="1" applyAlignment="1" applyProtection="1">
      <alignment horizontal="center" vertical="center"/>
      <protection hidden="1"/>
    </xf>
    <xf numFmtId="3" fontId="13" fillId="0" borderId="330" xfId="0" applyNumberFormat="1" applyFont="1" applyBorder="1" applyAlignment="1" applyProtection="1">
      <alignment horizontal="left" vertical="center" wrapText="1"/>
      <protection hidden="1"/>
    </xf>
    <xf numFmtId="3" fontId="13" fillId="0" borderId="0" xfId="0" applyNumberFormat="1" applyFont="1" applyAlignment="1" applyProtection="1">
      <alignment horizontal="left" vertical="center" wrapText="1"/>
      <protection hidden="1"/>
    </xf>
    <xf numFmtId="3" fontId="13" fillId="0" borderId="20" xfId="0" applyNumberFormat="1" applyFont="1" applyBorder="1" applyAlignment="1" applyProtection="1">
      <alignment horizontal="left" vertical="center" wrapText="1"/>
      <protection hidden="1"/>
    </xf>
    <xf numFmtId="0" fontId="64" fillId="47" borderId="10" xfId="0" applyFont="1" applyFill="1" applyBorder="1" applyAlignment="1" applyProtection="1">
      <alignment horizontal="left" vertical="center"/>
      <protection hidden="1"/>
    </xf>
    <xf numFmtId="0" fontId="37" fillId="47" borderId="10" xfId="0" applyFont="1" applyFill="1" applyBorder="1" applyAlignment="1" applyProtection="1">
      <alignment horizontal="left" vertical="center"/>
      <protection hidden="1"/>
    </xf>
    <xf numFmtId="0" fontId="173" fillId="0" borderId="66" xfId="0" applyFont="1" applyBorder="1" applyAlignment="1" applyProtection="1">
      <alignment horizontal="left" vertical="center"/>
      <protection hidden="1"/>
    </xf>
    <xf numFmtId="0" fontId="64" fillId="0" borderId="67" xfId="0" applyFont="1" applyBorder="1" applyAlignment="1" applyProtection="1">
      <alignment horizontal="left" vertical="center"/>
      <protection hidden="1"/>
    </xf>
    <xf numFmtId="0" fontId="173" fillId="0" borderId="48" xfId="0" applyFont="1" applyBorder="1" applyAlignment="1" applyProtection="1">
      <alignment horizontal="left" vertical="center"/>
      <protection hidden="1"/>
    </xf>
    <xf numFmtId="0" fontId="64" fillId="0" borderId="39" xfId="0" applyFont="1" applyBorder="1" applyAlignment="1" applyProtection="1">
      <alignment horizontal="left" vertical="center"/>
      <protection hidden="1"/>
    </xf>
    <xf numFmtId="0" fontId="173" fillId="0" borderId="69" xfId="0" applyFont="1" applyBorder="1" applyAlignment="1" applyProtection="1">
      <alignment horizontal="left" vertical="center"/>
      <protection hidden="1"/>
    </xf>
    <xf numFmtId="0" fontId="64" fillId="0" borderId="21" xfId="0" applyFont="1" applyBorder="1" applyAlignment="1" applyProtection="1">
      <alignment horizontal="left" vertical="center"/>
      <protection hidden="1"/>
    </xf>
    <xf numFmtId="0" fontId="0" fillId="30" borderId="216" xfId="0" applyFill="1" applyBorder="1" applyAlignment="1" applyProtection="1">
      <alignment vertical="top" wrapText="1"/>
      <protection locked="0"/>
    </xf>
    <xf numFmtId="0" fontId="0" fillId="26" borderId="210" xfId="0" applyFill="1" applyBorder="1" applyAlignment="1">
      <alignment horizontal="center" vertical="center"/>
    </xf>
    <xf numFmtId="0" fontId="0" fillId="26" borderId="211" xfId="0" applyFill="1" applyBorder="1" applyAlignment="1">
      <alignment horizontal="center" vertical="center"/>
    </xf>
    <xf numFmtId="0" fontId="0" fillId="26" borderId="212" xfId="0" applyFill="1" applyBorder="1" applyAlignment="1">
      <alignment horizontal="center" vertical="center"/>
    </xf>
    <xf numFmtId="0" fontId="0" fillId="30" borderId="215" xfId="0" applyFill="1" applyBorder="1" applyAlignment="1" applyProtection="1">
      <alignment vertical="top" wrapText="1"/>
      <protection locked="0"/>
    </xf>
    <xf numFmtId="0" fontId="0" fillId="30" borderId="104" xfId="0" applyFill="1" applyBorder="1" applyAlignment="1" applyProtection="1">
      <alignment vertical="top" wrapText="1"/>
      <protection locked="0"/>
    </xf>
    <xf numFmtId="0" fontId="0" fillId="30" borderId="10" xfId="0" applyFill="1" applyBorder="1" applyAlignment="1" applyProtection="1">
      <alignment vertical="top" wrapText="1"/>
      <protection locked="0"/>
    </xf>
    <xf numFmtId="0" fontId="13" fillId="24" borderId="48" xfId="51" applyFont="1" applyFill="1" applyBorder="1" applyAlignment="1" applyProtection="1">
      <alignment horizontal="left"/>
      <protection locked="0"/>
    </xf>
    <xf numFmtId="0" fontId="13" fillId="24" borderId="68" xfId="51" applyFont="1" applyFill="1" applyBorder="1" applyAlignment="1" applyProtection="1">
      <alignment horizontal="left"/>
      <protection locked="0"/>
    </xf>
    <xf numFmtId="0" fontId="13" fillId="25" borderId="0" xfId="51" applyFont="1" applyFill="1" applyAlignment="1">
      <alignment horizontal="left" wrapText="1"/>
    </xf>
    <xf numFmtId="0" fontId="3" fillId="25" borderId="0" xfId="49" applyFont="1" applyFill="1" applyAlignment="1">
      <alignment horizontal="left" wrapText="1"/>
    </xf>
    <xf numFmtId="0" fontId="3" fillId="25" borderId="0" xfId="49" applyFont="1" applyFill="1" applyAlignment="1">
      <alignment horizontal="left"/>
    </xf>
    <xf numFmtId="0" fontId="7" fillId="25" borderId="21" xfId="51" applyFont="1" applyFill="1" applyBorder="1" applyAlignment="1">
      <alignment horizontal="right" vertical="top"/>
    </xf>
    <xf numFmtId="0" fontId="7" fillId="25" borderId="21" xfId="49" applyFont="1" applyFill="1" applyBorder="1" applyAlignment="1">
      <alignment horizontal="right" vertical="top" wrapText="1"/>
    </xf>
    <xf numFmtId="0" fontId="13" fillId="25" borderId="48" xfId="51" applyFont="1" applyFill="1" applyBorder="1" applyAlignment="1">
      <alignment horizontal="center"/>
    </xf>
    <xf numFmtId="0" fontId="13" fillId="25" borderId="17" xfId="51" applyFont="1" applyFill="1" applyBorder="1" applyAlignment="1">
      <alignment horizontal="center"/>
    </xf>
    <xf numFmtId="0" fontId="13" fillId="25" borderId="48" xfId="51" applyFont="1" applyFill="1" applyBorder="1" applyAlignment="1">
      <alignment horizontal="center" vertical="center"/>
    </xf>
    <xf numFmtId="0" fontId="13" fillId="25" borderId="17" xfId="51" applyFont="1" applyFill="1" applyBorder="1" applyAlignment="1">
      <alignment horizontal="center" vertical="center"/>
    </xf>
    <xf numFmtId="0" fontId="3" fillId="0" borderId="0" xfId="0" applyFont="1" applyAlignment="1" applyProtection="1">
      <alignment horizontal="left" vertical="center"/>
      <protection hidden="1"/>
    </xf>
    <xf numFmtId="0" fontId="3" fillId="24" borderId="0" xfId="0" applyFont="1" applyFill="1" applyAlignment="1" applyProtection="1">
      <alignment horizontal="left" vertical="center"/>
      <protection hidden="1"/>
    </xf>
    <xf numFmtId="180" fontId="3" fillId="0" borderId="23" xfId="0" applyNumberFormat="1" applyFont="1" applyBorder="1" applyAlignment="1">
      <alignment horizontal="left" vertical="top" shrinkToFit="1"/>
    </xf>
    <xf numFmtId="0" fontId="0" fillId="0" borderId="0" xfId="0" applyAlignment="1">
      <alignment horizontal="left" vertical="top" shrinkToFit="1"/>
    </xf>
    <xf numFmtId="180" fontId="3" fillId="24" borderId="23" xfId="0" applyNumberFormat="1" applyFont="1" applyFill="1" applyBorder="1" applyAlignment="1">
      <alignment horizontal="left" vertical="top" shrinkToFit="1"/>
    </xf>
    <xf numFmtId="0" fontId="0" fillId="24" borderId="0" xfId="0" applyFill="1" applyAlignment="1">
      <alignment horizontal="left" vertical="top" shrinkToFit="1"/>
    </xf>
    <xf numFmtId="180" fontId="3" fillId="0" borderId="0" xfId="0" applyNumberFormat="1" applyFont="1" applyAlignment="1">
      <alignment horizontal="left" vertical="top" shrinkToFit="1"/>
    </xf>
    <xf numFmtId="180" fontId="3" fillId="0" borderId="20" xfId="0" applyNumberFormat="1" applyFont="1" applyBorder="1" applyAlignment="1">
      <alignment horizontal="left" vertical="top" shrinkToFit="1"/>
    </xf>
    <xf numFmtId="180" fontId="3" fillId="0" borderId="24" xfId="0" applyNumberFormat="1" applyFont="1" applyBorder="1" applyAlignment="1">
      <alignment horizontal="left" vertical="top" shrinkToFit="1"/>
    </xf>
    <xf numFmtId="180" fontId="3" fillId="0" borderId="19" xfId="0" applyNumberFormat="1" applyFont="1" applyBorder="1" applyAlignment="1">
      <alignment horizontal="left" vertical="top" shrinkToFit="1"/>
    </xf>
    <xf numFmtId="180" fontId="3" fillId="0" borderId="25" xfId="0" applyNumberFormat="1" applyFont="1" applyBorder="1" applyAlignment="1">
      <alignment horizontal="left" vertical="top" shrinkToFit="1"/>
    </xf>
    <xf numFmtId="180" fontId="3" fillId="0" borderId="118" xfId="0" applyNumberFormat="1" applyFont="1" applyBorder="1" applyAlignment="1">
      <alignment horizontal="left" vertical="top" shrinkToFit="1"/>
    </xf>
    <xf numFmtId="0" fontId="0" fillId="0" borderId="21" xfId="0" applyBorder="1" applyAlignment="1">
      <alignment horizontal="left" vertical="top" shrinkToFit="1"/>
    </xf>
    <xf numFmtId="0" fontId="29" fillId="28" borderId="49" xfId="0" applyFont="1" applyFill="1" applyBorder="1" applyAlignment="1" applyProtection="1">
      <alignment horizontal="center" vertical="center"/>
      <protection hidden="1"/>
    </xf>
    <xf numFmtId="0" fontId="29" fillId="28" borderId="50" xfId="0" applyFont="1" applyFill="1" applyBorder="1" applyAlignment="1" applyProtection="1">
      <alignment horizontal="center" vertical="center"/>
      <protection hidden="1"/>
    </xf>
    <xf numFmtId="0" fontId="0" fillId="0" borderId="20" xfId="0" applyBorder="1" applyAlignment="1">
      <alignment horizontal="left" vertical="top" shrinkToFit="1"/>
    </xf>
    <xf numFmtId="180" fontId="3" fillId="0" borderId="164" xfId="0" applyNumberFormat="1" applyFont="1" applyBorder="1" applyAlignment="1">
      <alignment horizontal="left" vertical="top" shrinkToFit="1"/>
    </xf>
    <xf numFmtId="0" fontId="0" fillId="0" borderId="65" xfId="0" applyBorder="1" applyAlignment="1">
      <alignment horizontal="left" vertical="top" shrinkToFit="1"/>
    </xf>
    <xf numFmtId="0" fontId="0" fillId="0" borderId="207" xfId="0" applyBorder="1" applyAlignment="1">
      <alignment horizontal="left" vertical="top" shrinkToFit="1"/>
    </xf>
    <xf numFmtId="180" fontId="3" fillId="0" borderId="38" xfId="0" applyNumberFormat="1" applyFont="1" applyBorder="1" applyAlignment="1">
      <alignment horizontal="left" vertical="top" shrinkToFit="1"/>
    </xf>
    <xf numFmtId="0" fontId="0" fillId="0" borderId="39" xfId="0" applyBorder="1" applyAlignment="1">
      <alignment horizontal="left" vertical="top" shrinkToFit="1"/>
    </xf>
    <xf numFmtId="0" fontId="0" fillId="0" borderId="19" xfId="0" applyBorder="1" applyAlignment="1">
      <alignment horizontal="left" vertical="top" shrinkToFit="1"/>
    </xf>
    <xf numFmtId="180" fontId="3" fillId="0" borderId="74" xfId="0" applyNumberFormat="1" applyFont="1" applyBorder="1" applyAlignment="1">
      <alignment horizontal="left" vertical="top" shrinkToFit="1"/>
    </xf>
    <xf numFmtId="0" fontId="0" fillId="0" borderId="67" xfId="0" applyBorder="1" applyAlignment="1">
      <alignment horizontal="left" vertical="top" shrinkToFit="1"/>
    </xf>
    <xf numFmtId="0" fontId="0" fillId="0" borderId="70" xfId="0" applyBorder="1" applyAlignment="1">
      <alignment horizontal="left" vertical="top" shrinkToFit="1"/>
    </xf>
    <xf numFmtId="180" fontId="3" fillId="0" borderId="21" xfId="0" applyNumberFormat="1" applyFont="1" applyBorder="1" applyAlignment="1">
      <alignment horizontal="left" vertical="top" shrinkToFit="1"/>
    </xf>
    <xf numFmtId="180" fontId="3" fillId="0" borderId="51" xfId="0" applyNumberFormat="1" applyFont="1" applyBorder="1" applyAlignment="1">
      <alignment horizontal="left" vertical="top" shrinkToFit="1"/>
    </xf>
    <xf numFmtId="0" fontId="0" fillId="35" borderId="66" xfId="0" applyFill="1" applyBorder="1" applyAlignment="1" applyProtection="1">
      <alignment horizontal="center" vertical="center"/>
      <protection hidden="1"/>
    </xf>
    <xf numFmtId="0" fontId="0" fillId="35" borderId="94" xfId="0" applyFill="1" applyBorder="1" applyAlignment="1" applyProtection="1">
      <alignment horizontal="center" vertical="center"/>
      <protection hidden="1"/>
    </xf>
    <xf numFmtId="0" fontId="0" fillId="35" borderId="69" xfId="0" applyFill="1" applyBorder="1" applyAlignment="1" applyProtection="1">
      <alignment horizontal="center" vertical="center"/>
      <protection hidden="1"/>
    </xf>
    <xf numFmtId="0" fontId="0" fillId="35" borderId="51" xfId="0" applyFill="1" applyBorder="1" applyAlignment="1" applyProtection="1">
      <alignment horizontal="center" vertical="center"/>
      <protection hidden="1"/>
    </xf>
    <xf numFmtId="2" fontId="13" fillId="35" borderId="10" xfId="0" applyNumberFormat="1" applyFont="1" applyFill="1" applyBorder="1" applyAlignment="1" applyProtection="1">
      <alignment horizontal="center"/>
      <protection hidden="1"/>
    </xf>
    <xf numFmtId="179" fontId="10" fillId="26" borderId="38" xfId="0" applyNumberFormat="1" applyFont="1" applyFill="1" applyBorder="1" applyAlignment="1" applyProtection="1">
      <alignment horizontal="center" vertical="center"/>
      <protection hidden="1"/>
    </xf>
    <xf numFmtId="179" fontId="10" fillId="26" borderId="39" xfId="0" applyNumberFormat="1" applyFont="1" applyFill="1" applyBorder="1" applyAlignment="1" applyProtection="1">
      <alignment horizontal="center" vertical="center"/>
      <protection hidden="1"/>
    </xf>
    <xf numFmtId="179" fontId="10" fillId="26" borderId="17" xfId="0" applyNumberFormat="1" applyFont="1" applyFill="1" applyBorder="1" applyAlignment="1" applyProtection="1">
      <alignment horizontal="center" vertical="center"/>
      <protection hidden="1"/>
    </xf>
    <xf numFmtId="0" fontId="3" fillId="25" borderId="42" xfId="0" applyFont="1" applyFill="1" applyBorder="1" applyAlignment="1" applyProtection="1">
      <alignment horizontal="left" vertical="center" wrapText="1"/>
      <protection hidden="1"/>
    </xf>
    <xf numFmtId="0" fontId="3" fillId="25" borderId="18" xfId="0" applyFont="1" applyFill="1" applyBorder="1" applyAlignment="1" applyProtection="1">
      <alignment horizontal="left" vertical="center" wrapText="1"/>
      <protection hidden="1"/>
    </xf>
    <xf numFmtId="0" fontId="3" fillId="25" borderId="43" xfId="0" applyFont="1" applyFill="1" applyBorder="1" applyAlignment="1" applyProtection="1">
      <alignment horizontal="left" vertical="center" wrapText="1"/>
      <protection hidden="1"/>
    </xf>
    <xf numFmtId="0" fontId="3" fillId="25" borderId="171" xfId="0" applyFont="1" applyFill="1" applyBorder="1" applyAlignment="1" applyProtection="1">
      <alignment horizontal="center" vertical="center" wrapText="1"/>
      <protection hidden="1"/>
    </xf>
    <xf numFmtId="0" fontId="3" fillId="25" borderId="117" xfId="0" applyFont="1" applyFill="1" applyBorder="1" applyAlignment="1" applyProtection="1">
      <alignment horizontal="center" vertical="center" wrapText="1"/>
      <protection hidden="1"/>
    </xf>
    <xf numFmtId="0" fontId="3" fillId="25" borderId="98" xfId="0" applyFont="1" applyFill="1" applyBorder="1" applyAlignment="1" applyProtection="1">
      <alignment horizontal="center" vertical="center" wrapText="1"/>
      <protection hidden="1"/>
    </xf>
    <xf numFmtId="0" fontId="3" fillId="25" borderId="66" xfId="0" applyFont="1" applyFill="1" applyBorder="1" applyAlignment="1" applyProtection="1">
      <alignment horizontal="left" vertical="center" wrapText="1"/>
      <protection hidden="1"/>
    </xf>
    <xf numFmtId="0" fontId="3" fillId="25" borderId="94" xfId="0" applyFont="1" applyFill="1" applyBorder="1" applyAlignment="1" applyProtection="1">
      <alignment horizontal="left" vertical="center" wrapText="1"/>
      <protection hidden="1"/>
    </xf>
    <xf numFmtId="0" fontId="3" fillId="25" borderId="11" xfId="0" applyFont="1" applyFill="1" applyBorder="1" applyAlignment="1" applyProtection="1">
      <alignment horizontal="left" vertical="center" wrapText="1"/>
      <protection hidden="1"/>
    </xf>
    <xf numFmtId="0" fontId="3" fillId="25" borderId="16" xfId="0" applyFont="1" applyFill="1" applyBorder="1" applyAlignment="1" applyProtection="1">
      <alignment horizontal="left" vertical="center" wrapText="1"/>
      <protection hidden="1"/>
    </xf>
    <xf numFmtId="0" fontId="3" fillId="25" borderId="69" xfId="0" applyFont="1" applyFill="1" applyBorder="1" applyAlignment="1" applyProtection="1">
      <alignment horizontal="left" vertical="center" wrapText="1"/>
      <protection hidden="1"/>
    </xf>
    <xf numFmtId="0" fontId="3" fillId="25" borderId="51" xfId="0" applyFont="1" applyFill="1" applyBorder="1" applyAlignment="1" applyProtection="1">
      <alignment horizontal="left" vertical="center" wrapText="1"/>
      <protection hidden="1"/>
    </xf>
    <xf numFmtId="0" fontId="3" fillId="25" borderId="42" xfId="0" applyFont="1" applyFill="1" applyBorder="1" applyAlignment="1" applyProtection="1">
      <alignment horizontal="center" vertical="center" wrapText="1"/>
      <protection hidden="1"/>
    </xf>
    <xf numFmtId="0" fontId="3" fillId="25" borderId="43" xfId="0" applyFont="1" applyFill="1" applyBorder="1" applyAlignment="1" applyProtection="1">
      <alignment horizontal="center" vertical="center" wrapText="1"/>
      <protection hidden="1"/>
    </xf>
    <xf numFmtId="0" fontId="3" fillId="25" borderId="44" xfId="0" applyFont="1" applyFill="1" applyBorder="1" applyAlignment="1" applyProtection="1">
      <alignment horizontal="center" vertical="center" wrapText="1"/>
      <protection hidden="1"/>
    </xf>
    <xf numFmtId="0" fontId="3" fillId="25" borderId="45" xfId="0" applyFont="1" applyFill="1" applyBorder="1" applyAlignment="1" applyProtection="1">
      <alignment horizontal="center" vertical="center" wrapText="1"/>
      <protection hidden="1"/>
    </xf>
    <xf numFmtId="0" fontId="5" fillId="26" borderId="84" xfId="0" applyFont="1" applyFill="1" applyBorder="1" applyAlignment="1" applyProtection="1">
      <alignment horizontal="center" vertical="center"/>
      <protection locked="0" hidden="1"/>
    </xf>
    <xf numFmtId="0" fontId="5" fillId="26" borderId="81" xfId="0" applyFont="1" applyFill="1" applyBorder="1" applyAlignment="1" applyProtection="1">
      <alignment horizontal="center" vertical="center"/>
      <protection locked="0" hidden="1"/>
    </xf>
    <xf numFmtId="0" fontId="5" fillId="26" borderId="85" xfId="0" applyFont="1" applyFill="1" applyBorder="1" applyAlignment="1" applyProtection="1">
      <alignment horizontal="center" vertical="center"/>
      <protection locked="0" hidden="1"/>
    </xf>
    <xf numFmtId="0" fontId="3" fillId="25" borderId="181" xfId="0" applyFont="1" applyFill="1" applyBorder="1" applyAlignment="1" applyProtection="1">
      <alignment horizontal="center" vertical="center"/>
      <protection hidden="1"/>
    </xf>
    <xf numFmtId="0" fontId="3" fillId="25" borderId="213" xfId="0" applyFont="1" applyFill="1" applyBorder="1" applyAlignment="1" applyProtection="1">
      <alignment horizontal="center" vertical="center"/>
      <protection hidden="1"/>
    </xf>
    <xf numFmtId="0" fontId="3" fillId="25" borderId="171" xfId="0" applyFont="1" applyFill="1" applyBorder="1" applyAlignment="1" applyProtection="1">
      <alignment horizontal="center" vertical="center"/>
      <protection hidden="1"/>
    </xf>
    <xf numFmtId="0" fontId="3" fillId="25" borderId="117" xfId="0" applyFont="1" applyFill="1" applyBorder="1" applyAlignment="1" applyProtection="1">
      <alignment horizontal="center" vertical="center"/>
      <protection hidden="1"/>
    </xf>
    <xf numFmtId="0" fontId="3" fillId="25" borderId="98" xfId="0" applyFont="1" applyFill="1" applyBorder="1" applyAlignment="1" applyProtection="1">
      <alignment horizontal="center" vertical="center"/>
      <protection hidden="1"/>
    </xf>
    <xf numFmtId="0" fontId="3" fillId="25" borderId="46" xfId="0" applyFont="1" applyFill="1" applyBorder="1" applyAlignment="1" applyProtection="1">
      <alignment horizontal="center" vertical="center" wrapText="1"/>
      <protection hidden="1"/>
    </xf>
    <xf numFmtId="0" fontId="3" fillId="25" borderId="47" xfId="0" applyFont="1" applyFill="1" applyBorder="1" applyAlignment="1" applyProtection="1">
      <alignment horizontal="center" vertical="center" wrapText="1"/>
      <protection hidden="1"/>
    </xf>
    <xf numFmtId="0" fontId="3" fillId="25" borderId="46" xfId="0" applyFont="1" applyFill="1" applyBorder="1" applyAlignment="1" applyProtection="1">
      <alignment horizontal="left" vertical="center" wrapText="1"/>
      <protection hidden="1"/>
    </xf>
    <xf numFmtId="0" fontId="3" fillId="25" borderId="110" xfId="0" applyFont="1" applyFill="1" applyBorder="1" applyAlignment="1" applyProtection="1">
      <alignment horizontal="left" vertical="center" wrapText="1"/>
      <protection hidden="1"/>
    </xf>
    <xf numFmtId="0" fontId="3" fillId="25" borderId="47" xfId="0" applyFont="1" applyFill="1" applyBorder="1" applyAlignment="1" applyProtection="1">
      <alignment horizontal="left" vertical="center" wrapText="1"/>
      <protection hidden="1"/>
    </xf>
    <xf numFmtId="0" fontId="3" fillId="25" borderId="67" xfId="0" applyFont="1" applyFill="1" applyBorder="1" applyAlignment="1" applyProtection="1">
      <alignment horizontal="left" vertical="center" wrapText="1"/>
      <protection hidden="1"/>
    </xf>
    <xf numFmtId="0" fontId="3" fillId="25" borderId="44" xfId="0" applyFont="1" applyFill="1" applyBorder="1" applyAlignment="1" applyProtection="1">
      <alignment horizontal="left" vertical="center" wrapText="1"/>
      <protection hidden="1"/>
    </xf>
    <xf numFmtId="0" fontId="3" fillId="25" borderId="108" xfId="0" applyFont="1" applyFill="1" applyBorder="1" applyAlignment="1" applyProtection="1">
      <alignment horizontal="left" vertical="center" wrapText="1"/>
      <protection hidden="1"/>
    </xf>
    <xf numFmtId="0" fontId="3" fillId="25" borderId="45" xfId="0" applyFont="1" applyFill="1" applyBorder="1" applyAlignment="1" applyProtection="1">
      <alignment horizontal="left" vertical="center" wrapText="1"/>
      <protection hidden="1"/>
    </xf>
    <xf numFmtId="0" fontId="3" fillId="25" borderId="21" xfId="0" applyFont="1" applyFill="1" applyBorder="1" applyAlignment="1" applyProtection="1">
      <alignment horizontal="left" vertical="center" wrapText="1"/>
      <protection hidden="1"/>
    </xf>
    <xf numFmtId="0" fontId="3" fillId="25" borderId="108" xfId="0" applyFont="1" applyFill="1" applyBorder="1" applyAlignment="1" applyProtection="1">
      <alignment horizontal="left" vertical="center"/>
      <protection hidden="1"/>
    </xf>
    <xf numFmtId="0" fontId="3" fillId="25" borderId="45" xfId="0" applyFont="1" applyFill="1" applyBorder="1" applyAlignment="1" applyProtection="1">
      <alignment horizontal="left" vertical="center"/>
      <protection hidden="1"/>
    </xf>
    <xf numFmtId="0" fontId="210" fillId="25" borderId="171" xfId="0" applyFont="1" applyFill="1" applyBorder="1" applyAlignment="1" applyProtection="1">
      <alignment horizontal="center" vertical="center" wrapText="1"/>
      <protection hidden="1"/>
    </xf>
    <xf numFmtId="0" fontId="210" fillId="25" borderId="117" xfId="0" applyFont="1" applyFill="1" applyBorder="1" applyAlignment="1" applyProtection="1">
      <alignment horizontal="center" vertical="center" wrapText="1"/>
      <protection hidden="1"/>
    </xf>
    <xf numFmtId="0" fontId="210" fillId="25" borderId="98" xfId="0" applyFont="1" applyFill="1" applyBorder="1" applyAlignment="1" applyProtection="1">
      <alignment horizontal="center" vertical="center" wrapText="1"/>
      <protection hidden="1"/>
    </xf>
    <xf numFmtId="0" fontId="3" fillId="25" borderId="128" xfId="0" applyFont="1" applyFill="1" applyBorder="1" applyAlignment="1" applyProtection="1">
      <alignment horizontal="left" vertical="center" wrapText="1"/>
      <protection hidden="1"/>
    </xf>
    <xf numFmtId="0" fontId="3" fillId="25" borderId="104" xfId="0" applyFont="1" applyFill="1" applyBorder="1" applyAlignment="1" applyProtection="1">
      <alignment horizontal="left" vertical="center" wrapText="1"/>
      <protection hidden="1"/>
    </xf>
    <xf numFmtId="0" fontId="3" fillId="25" borderId="104" xfId="0" applyFont="1" applyFill="1" applyBorder="1" applyAlignment="1" applyProtection="1">
      <alignment horizontal="left" vertical="center"/>
      <protection hidden="1"/>
    </xf>
    <xf numFmtId="0" fontId="3" fillId="25" borderId="10" xfId="0" applyFont="1" applyFill="1" applyBorder="1" applyAlignment="1" applyProtection="1">
      <alignment horizontal="left" vertical="center" wrapText="1"/>
      <protection hidden="1"/>
    </xf>
    <xf numFmtId="0" fontId="0" fillId="0" borderId="108" xfId="0" applyBorder="1" applyAlignment="1">
      <alignment horizontal="left" vertical="center" wrapText="1"/>
    </xf>
    <xf numFmtId="0" fontId="0" fillId="0" borderId="45" xfId="0" applyBorder="1" applyAlignment="1">
      <alignment horizontal="left" vertical="center" wrapText="1"/>
    </xf>
    <xf numFmtId="0" fontId="0" fillId="0" borderId="110" xfId="0" applyBorder="1" applyAlignment="1">
      <alignment horizontal="left" vertical="center" wrapText="1"/>
    </xf>
    <xf numFmtId="0" fontId="0" fillId="0" borderId="47" xfId="0" applyBorder="1" applyAlignment="1">
      <alignment horizontal="left" vertical="center" wrapText="1"/>
    </xf>
    <xf numFmtId="0" fontId="210" fillId="25" borderId="181" xfId="0" applyFont="1" applyFill="1" applyBorder="1" applyAlignment="1" applyProtection="1">
      <alignment horizontal="center" vertical="center" wrapText="1"/>
      <protection hidden="1"/>
    </xf>
    <xf numFmtId="0" fontId="210" fillId="25" borderId="213" xfId="0" applyFont="1" applyFill="1" applyBorder="1" applyAlignment="1" applyProtection="1">
      <alignment horizontal="center" vertical="center" wrapText="1"/>
      <protection hidden="1"/>
    </xf>
    <xf numFmtId="0" fontId="3" fillId="25" borderId="181" xfId="0" applyFont="1" applyFill="1" applyBorder="1" applyAlignment="1" applyProtection="1">
      <alignment horizontal="center" vertical="center" wrapText="1"/>
      <protection hidden="1"/>
    </xf>
    <xf numFmtId="0" fontId="3" fillId="25" borderId="133" xfId="0" applyFont="1" applyFill="1" applyBorder="1" applyAlignment="1" applyProtection="1">
      <alignment horizontal="center" vertical="center" wrapText="1"/>
      <protection hidden="1"/>
    </xf>
    <xf numFmtId="0" fontId="3" fillId="25" borderId="11" xfId="0" applyFont="1" applyFill="1" applyBorder="1" applyAlignment="1" applyProtection="1">
      <alignment horizontal="center" vertical="center" wrapText="1"/>
      <protection hidden="1"/>
    </xf>
    <xf numFmtId="0" fontId="3" fillId="25" borderId="15" xfId="0" applyFont="1" applyFill="1" applyBorder="1" applyAlignment="1" applyProtection="1">
      <alignment horizontal="center" vertical="center" wrapText="1"/>
      <protection hidden="1"/>
    </xf>
    <xf numFmtId="0" fontId="3" fillId="25" borderId="182" xfId="0" applyFont="1" applyFill="1" applyBorder="1" applyAlignment="1" applyProtection="1">
      <alignment horizontal="center" vertical="center" wrapText="1"/>
      <protection hidden="1"/>
    </xf>
    <xf numFmtId="0" fontId="3" fillId="25" borderId="183" xfId="0" applyFont="1" applyFill="1" applyBorder="1" applyAlignment="1" applyProtection="1">
      <alignment horizontal="center" vertical="center" wrapText="1"/>
      <protection hidden="1"/>
    </xf>
    <xf numFmtId="0" fontId="3" fillId="25" borderId="331" xfId="0" applyFont="1" applyFill="1" applyBorder="1" applyAlignment="1" applyProtection="1">
      <alignment horizontal="center" vertical="center" wrapText="1"/>
      <protection hidden="1"/>
    </xf>
    <xf numFmtId="0" fontId="3" fillId="25" borderId="46" xfId="0" applyFont="1" applyFill="1" applyBorder="1" applyAlignment="1" applyProtection="1">
      <alignment horizontal="center" vertical="center"/>
      <protection hidden="1"/>
    </xf>
    <xf numFmtId="0" fontId="3" fillId="25" borderId="47" xfId="0" applyFont="1" applyFill="1" applyBorder="1" applyAlignment="1" applyProtection="1">
      <alignment horizontal="center" vertical="center"/>
      <protection hidden="1"/>
    </xf>
    <xf numFmtId="0" fontId="3" fillId="25" borderId="44" xfId="0" applyFont="1" applyFill="1" applyBorder="1" applyAlignment="1" applyProtection="1">
      <alignment vertical="center" wrapText="1"/>
      <protection hidden="1"/>
    </xf>
    <xf numFmtId="0" fontId="0" fillId="0" borderId="108" xfId="0" applyBorder="1" applyAlignment="1">
      <alignment vertical="center" wrapText="1"/>
    </xf>
    <xf numFmtId="0" fontId="0" fillId="0" borderId="45" xfId="0" applyBorder="1" applyAlignment="1">
      <alignment vertical="center" wrapText="1"/>
    </xf>
    <xf numFmtId="0" fontId="3" fillId="25" borderId="46" xfId="0" applyFont="1" applyFill="1" applyBorder="1" applyAlignment="1" applyProtection="1">
      <alignment vertical="center" wrapText="1"/>
      <protection hidden="1"/>
    </xf>
    <xf numFmtId="0" fontId="0" fillId="0" borderId="110" xfId="0" applyBorder="1" applyAlignment="1">
      <alignment vertical="center" wrapText="1"/>
    </xf>
    <xf numFmtId="0" fontId="0" fillId="0" borderId="47" xfId="0" applyBorder="1" applyAlignment="1">
      <alignment vertical="center" wrapText="1"/>
    </xf>
    <xf numFmtId="201" fontId="10" fillId="26" borderId="84" xfId="0" applyNumberFormat="1" applyFont="1" applyFill="1" applyBorder="1" applyAlignment="1" applyProtection="1">
      <alignment horizontal="center" vertical="center"/>
      <protection locked="0" hidden="1"/>
    </xf>
    <xf numFmtId="201" fontId="10" fillId="26" borderId="85" xfId="0" applyNumberFormat="1" applyFont="1" applyFill="1" applyBorder="1" applyAlignment="1" applyProtection="1">
      <alignment horizontal="center" vertical="center"/>
      <protection locked="0" hidden="1"/>
    </xf>
    <xf numFmtId="0" fontId="3" fillId="25" borderId="48" xfId="0" applyFont="1" applyFill="1" applyBorder="1" applyAlignment="1" applyProtection="1">
      <alignment horizontal="center" vertical="center"/>
      <protection hidden="1"/>
    </xf>
    <xf numFmtId="0" fontId="3" fillId="25" borderId="39" xfId="0" applyFont="1" applyFill="1" applyBorder="1" applyAlignment="1" applyProtection="1">
      <alignment horizontal="center" vertical="center"/>
      <protection hidden="1"/>
    </xf>
    <xf numFmtId="0" fontId="3" fillId="25" borderId="17" xfId="0" applyFont="1" applyFill="1" applyBorder="1" applyAlignment="1" applyProtection="1">
      <alignment horizontal="center" vertical="center"/>
      <protection hidden="1"/>
    </xf>
    <xf numFmtId="0" fontId="3" fillId="25" borderId="108" xfId="0" applyFont="1" applyFill="1" applyBorder="1" applyAlignment="1" applyProtection="1">
      <alignment vertical="center" wrapText="1"/>
      <protection hidden="1"/>
    </xf>
    <xf numFmtId="0" fontId="3" fillId="25" borderId="45" xfId="0" applyFont="1" applyFill="1" applyBorder="1" applyAlignment="1" applyProtection="1">
      <alignment vertical="center" wrapText="1"/>
      <protection hidden="1"/>
    </xf>
    <xf numFmtId="0" fontId="10" fillId="25" borderId="181" xfId="0" applyFont="1" applyFill="1" applyBorder="1" applyAlignment="1" applyProtection="1">
      <alignment horizontal="center" vertical="center" wrapText="1"/>
      <protection hidden="1"/>
    </xf>
    <xf numFmtId="0" fontId="0" fillId="0" borderId="117" xfId="0" applyBorder="1">
      <alignment vertical="center"/>
    </xf>
    <xf numFmtId="0" fontId="0" fillId="0" borderId="98" xfId="0" applyBorder="1">
      <alignment vertical="center"/>
    </xf>
    <xf numFmtId="0" fontId="10" fillId="25" borderId="94" xfId="0" applyFont="1" applyFill="1" applyBorder="1" applyAlignment="1" applyProtection="1">
      <alignment horizontal="center" vertical="center" wrapText="1"/>
      <protection hidden="1"/>
    </xf>
    <xf numFmtId="0" fontId="3" fillId="25" borderId="16" xfId="0" applyFont="1" applyFill="1" applyBorder="1" applyAlignment="1" applyProtection="1">
      <alignment horizontal="center" vertical="center" wrapText="1"/>
      <protection hidden="1"/>
    </xf>
    <xf numFmtId="0" fontId="3" fillId="25" borderId="51" xfId="0" applyFont="1" applyFill="1" applyBorder="1" applyAlignment="1" applyProtection="1">
      <alignment horizontal="center" vertical="center" wrapText="1"/>
      <protection hidden="1"/>
    </xf>
    <xf numFmtId="0" fontId="3" fillId="25" borderId="42" xfId="0" applyFont="1" applyFill="1" applyBorder="1" applyAlignment="1" applyProtection="1">
      <alignment horizontal="left" vertical="center"/>
      <protection hidden="1"/>
    </xf>
    <xf numFmtId="0" fontId="3" fillId="25" borderId="18" xfId="0" applyFont="1" applyFill="1" applyBorder="1" applyAlignment="1" applyProtection="1">
      <alignment horizontal="left" vertical="center"/>
      <protection hidden="1"/>
    </xf>
    <xf numFmtId="0" fontId="3" fillId="25" borderId="43" xfId="0" applyFont="1" applyFill="1" applyBorder="1" applyAlignment="1" applyProtection="1">
      <alignment horizontal="left" vertical="center"/>
      <protection hidden="1"/>
    </xf>
    <xf numFmtId="0" fontId="3" fillId="25" borderId="44" xfId="0" applyFont="1" applyFill="1" applyBorder="1" applyAlignment="1" applyProtection="1">
      <alignment horizontal="left" vertical="center"/>
      <protection hidden="1"/>
    </xf>
    <xf numFmtId="0" fontId="3" fillId="25" borderId="48" xfId="0" applyFont="1" applyFill="1" applyBorder="1" applyAlignment="1" applyProtection="1">
      <alignment horizontal="left" vertical="center" wrapText="1"/>
      <protection hidden="1"/>
    </xf>
    <xf numFmtId="0" fontId="3" fillId="25" borderId="39" xfId="0" applyFont="1" applyFill="1" applyBorder="1" applyAlignment="1" applyProtection="1">
      <alignment horizontal="left" vertical="center" wrapText="1"/>
      <protection hidden="1"/>
    </xf>
    <xf numFmtId="0" fontId="3" fillId="25" borderId="17" xfId="0" applyFont="1" applyFill="1" applyBorder="1" applyAlignment="1" applyProtection="1">
      <alignment horizontal="left" vertical="center" wrapText="1"/>
      <protection hidden="1"/>
    </xf>
    <xf numFmtId="0" fontId="3" fillId="25" borderId="185" xfId="0" applyFont="1" applyFill="1" applyBorder="1" applyAlignment="1" applyProtection="1">
      <alignment horizontal="center" vertical="center" wrapText="1"/>
      <protection hidden="1"/>
    </xf>
    <xf numFmtId="0" fontId="3" fillId="25" borderId="14" xfId="0" applyFont="1" applyFill="1" applyBorder="1" applyAlignment="1" applyProtection="1">
      <alignment horizontal="center" vertical="center" wrapText="1"/>
      <protection hidden="1"/>
    </xf>
    <xf numFmtId="0" fontId="3" fillId="25" borderId="213" xfId="0" applyFont="1" applyFill="1" applyBorder="1" applyAlignment="1" applyProtection="1">
      <alignment horizontal="center" vertical="center" wrapText="1"/>
      <protection hidden="1"/>
    </xf>
    <xf numFmtId="0" fontId="3" fillId="25" borderId="40" xfId="0" applyFont="1" applyFill="1" applyBorder="1" applyAlignment="1" applyProtection="1">
      <alignment horizontal="center" vertical="center" wrapText="1"/>
      <protection hidden="1"/>
    </xf>
    <xf numFmtId="0" fontId="3" fillId="25" borderId="116" xfId="0" applyFont="1" applyFill="1" applyBorder="1" applyAlignment="1" applyProtection="1">
      <alignment horizontal="center" vertical="center"/>
      <protection hidden="1"/>
    </xf>
    <xf numFmtId="0" fontId="3" fillId="25" borderId="14" xfId="0" applyFont="1" applyFill="1" applyBorder="1" applyAlignment="1" applyProtection="1">
      <alignment horizontal="center" vertical="center"/>
      <protection hidden="1"/>
    </xf>
    <xf numFmtId="0" fontId="3" fillId="25" borderId="116" xfId="0" applyFont="1" applyFill="1" applyBorder="1" applyAlignment="1" applyProtection="1">
      <alignment horizontal="center" vertical="center" wrapText="1"/>
      <protection hidden="1"/>
    </xf>
    <xf numFmtId="0" fontId="3" fillId="25" borderId="104" xfId="0" applyFont="1" applyFill="1" applyBorder="1" applyAlignment="1" applyProtection="1">
      <alignment horizontal="center" vertical="center" wrapText="1"/>
      <protection hidden="1"/>
    </xf>
    <xf numFmtId="0" fontId="3" fillId="25" borderId="185" xfId="0" applyFont="1" applyFill="1" applyBorder="1" applyAlignment="1" applyProtection="1">
      <alignment horizontal="center" vertical="center"/>
      <protection hidden="1"/>
    </xf>
    <xf numFmtId="0" fontId="5" fillId="26" borderId="129" xfId="0" applyFont="1" applyFill="1" applyBorder="1" applyAlignment="1" applyProtection="1">
      <alignment horizontal="center" vertical="center"/>
      <protection locked="0" hidden="1"/>
    </xf>
    <xf numFmtId="0" fontId="5" fillId="26" borderId="127" xfId="0" applyFont="1" applyFill="1" applyBorder="1" applyAlignment="1" applyProtection="1">
      <alignment horizontal="center" vertical="center"/>
      <protection locked="0" hidden="1"/>
    </xf>
    <xf numFmtId="0" fontId="13" fillId="25" borderId="181" xfId="0" applyFont="1" applyFill="1" applyBorder="1" applyAlignment="1" applyProtection="1">
      <alignment horizontal="center" vertical="center" wrapText="1"/>
      <protection hidden="1"/>
    </xf>
    <xf numFmtId="0" fontId="13" fillId="25" borderId="98" xfId="0" applyFont="1" applyFill="1" applyBorder="1" applyAlignment="1" applyProtection="1">
      <alignment horizontal="center" vertical="center" wrapText="1"/>
      <protection hidden="1"/>
    </xf>
    <xf numFmtId="0" fontId="3" fillId="25" borderId="10" xfId="0" applyFont="1" applyFill="1" applyBorder="1" applyAlignment="1" applyProtection="1">
      <alignment horizontal="center" vertical="center" wrapText="1"/>
      <protection hidden="1"/>
    </xf>
    <xf numFmtId="0" fontId="13" fillId="25" borderId="67" xfId="0" applyFont="1" applyFill="1" applyBorder="1" applyAlignment="1" applyProtection="1">
      <alignment horizontal="center" vertical="center" wrapText="1"/>
      <protection hidden="1"/>
    </xf>
    <xf numFmtId="0" fontId="13" fillId="25" borderId="0" xfId="0" applyFont="1" applyFill="1" applyAlignment="1" applyProtection="1">
      <alignment horizontal="center" vertical="center" wrapText="1"/>
      <protection hidden="1"/>
    </xf>
    <xf numFmtId="0" fontId="13" fillId="25" borderId="21" xfId="0" applyFont="1" applyFill="1" applyBorder="1" applyAlignment="1" applyProtection="1">
      <alignment horizontal="center" vertical="center" wrapText="1"/>
      <protection hidden="1"/>
    </xf>
    <xf numFmtId="0" fontId="3" fillId="25" borderId="66" xfId="0" applyFont="1" applyFill="1" applyBorder="1" applyAlignment="1" applyProtection="1">
      <alignment horizontal="left" vertical="center"/>
      <protection hidden="1"/>
    </xf>
    <xf numFmtId="0" fontId="3" fillId="25" borderId="94" xfId="0" applyFont="1" applyFill="1" applyBorder="1" applyAlignment="1" applyProtection="1">
      <alignment horizontal="left" vertical="center"/>
      <protection hidden="1"/>
    </xf>
    <xf numFmtId="179" fontId="10" fillId="25" borderId="214" xfId="0" applyNumberFormat="1" applyFont="1" applyFill="1" applyBorder="1" applyAlignment="1" applyProtection="1">
      <alignment horizontal="center" vertical="center" wrapText="1"/>
      <protection hidden="1"/>
    </xf>
    <xf numFmtId="179" fontId="10" fillId="25" borderId="116" xfId="0" applyNumberFormat="1" applyFont="1" applyFill="1" applyBorder="1" applyAlignment="1" applyProtection="1">
      <alignment horizontal="center" vertical="center" wrapText="1"/>
      <protection hidden="1"/>
    </xf>
    <xf numFmtId="179" fontId="10" fillId="25" borderId="104" xfId="0" applyNumberFormat="1" applyFont="1" applyFill="1" applyBorder="1" applyAlignment="1" applyProtection="1">
      <alignment horizontal="center" vertical="center" wrapText="1"/>
      <protection hidden="1"/>
    </xf>
    <xf numFmtId="196" fontId="27" fillId="43" borderId="26" xfId="0" applyNumberFormat="1" applyFont="1" applyFill="1" applyBorder="1" applyAlignment="1" applyProtection="1">
      <alignment horizontal="center" vertical="center"/>
      <protection locked="0"/>
    </xf>
    <xf numFmtId="196" fontId="27" fillId="43" borderId="50" xfId="0" applyNumberFormat="1" applyFont="1" applyFill="1" applyBorder="1" applyAlignment="1" applyProtection="1">
      <alignment horizontal="center" vertical="center"/>
      <protection locked="0"/>
    </xf>
    <xf numFmtId="0" fontId="3" fillId="41" borderId="0" xfId="0" applyFont="1" applyFill="1" applyAlignment="1">
      <alignment horizontal="left" vertical="center" wrapText="1"/>
    </xf>
    <xf numFmtId="0" fontId="3" fillId="25" borderId="0" xfId="0" applyFont="1" applyFill="1" applyAlignment="1" applyProtection="1">
      <alignment horizontal="left" vertical="center" wrapText="1"/>
      <protection hidden="1"/>
    </xf>
    <xf numFmtId="0" fontId="3" fillId="25" borderId="11" xfId="0" applyFont="1" applyFill="1" applyBorder="1" applyAlignment="1">
      <alignment horizontal="left" vertical="top" wrapText="1"/>
    </xf>
    <xf numFmtId="0" fontId="3" fillId="25" borderId="0" xfId="0" applyFont="1" applyFill="1" applyAlignment="1">
      <alignment horizontal="left" vertical="top" wrapText="1"/>
    </xf>
    <xf numFmtId="0" fontId="10" fillId="44" borderId="327" xfId="0" applyFont="1" applyFill="1" applyBorder="1" applyAlignment="1" applyProtection="1">
      <alignment horizontal="center" vertical="center" shrinkToFit="1"/>
      <protection locked="0"/>
    </xf>
    <xf numFmtId="0" fontId="10" fillId="44" borderId="328" xfId="0" applyFont="1" applyFill="1" applyBorder="1" applyAlignment="1" applyProtection="1">
      <alignment horizontal="center" vertical="center" shrinkToFit="1"/>
      <protection locked="0"/>
    </xf>
    <xf numFmtId="202" fontId="27" fillId="26" borderId="127" xfId="35" applyNumberFormat="1" applyFont="1" applyFill="1" applyBorder="1" applyAlignment="1" applyProtection="1">
      <alignment horizontal="center" vertical="center"/>
      <protection locked="0" hidden="1"/>
    </xf>
    <xf numFmtId="202" fontId="27" fillId="26" borderId="85" xfId="35" applyNumberFormat="1" applyFont="1" applyFill="1" applyBorder="1" applyAlignment="1" applyProtection="1">
      <alignment horizontal="center" vertical="center"/>
      <protection locked="0" hidden="1"/>
    </xf>
    <xf numFmtId="0" fontId="3" fillId="25" borderId="66" xfId="0" applyFont="1" applyFill="1" applyBorder="1" applyAlignment="1" applyProtection="1">
      <alignment vertical="center" wrapText="1"/>
      <protection hidden="1"/>
    </xf>
    <xf numFmtId="0" fontId="0" fillId="0" borderId="67" xfId="0" applyBorder="1" applyAlignment="1">
      <alignment vertical="center" wrapText="1"/>
    </xf>
    <xf numFmtId="0" fontId="0" fillId="0" borderId="94" xfId="0" applyBorder="1" applyAlignment="1">
      <alignment vertical="center" wrapText="1"/>
    </xf>
    <xf numFmtId="0" fontId="3" fillId="25" borderId="39" xfId="0" applyFont="1" applyFill="1" applyBorder="1" applyAlignment="1" applyProtection="1">
      <alignment horizontal="right" vertical="center"/>
      <protection hidden="1"/>
    </xf>
    <xf numFmtId="192" fontId="3" fillId="25" borderId="39" xfId="0" applyNumberFormat="1" applyFont="1" applyFill="1" applyBorder="1" applyAlignment="1" applyProtection="1">
      <alignment horizontal="left" vertical="center"/>
      <protection hidden="1"/>
    </xf>
    <xf numFmtId="179" fontId="3" fillId="25" borderId="44" xfId="0" applyNumberFormat="1" applyFont="1" applyFill="1" applyBorder="1" applyAlignment="1" applyProtection="1">
      <alignment horizontal="left" vertical="center" wrapText="1"/>
      <protection hidden="1"/>
    </xf>
    <xf numFmtId="179" fontId="3" fillId="25" borderId="108" xfId="0" applyNumberFormat="1" applyFont="1" applyFill="1" applyBorder="1" applyAlignment="1" applyProtection="1">
      <alignment horizontal="left" vertical="center" wrapText="1"/>
      <protection hidden="1"/>
    </xf>
    <xf numFmtId="179" fontId="3" fillId="25" borderId="45" xfId="0" applyNumberFormat="1" applyFont="1" applyFill="1" applyBorder="1" applyAlignment="1" applyProtection="1">
      <alignment horizontal="left" vertical="center" wrapText="1"/>
      <protection hidden="1"/>
    </xf>
    <xf numFmtId="179" fontId="3" fillId="25" borderId="42" xfId="0" applyNumberFormat="1" applyFont="1" applyFill="1" applyBorder="1" applyAlignment="1" applyProtection="1">
      <alignment horizontal="left" vertical="center" wrapText="1"/>
      <protection hidden="1"/>
    </xf>
    <xf numFmtId="179" fontId="3" fillId="25" borderId="18" xfId="0" applyNumberFormat="1" applyFont="1" applyFill="1" applyBorder="1" applyAlignment="1" applyProtection="1">
      <alignment horizontal="left" vertical="center" wrapText="1"/>
      <protection hidden="1"/>
    </xf>
    <xf numFmtId="179" fontId="3" fillId="25" borderId="43" xfId="0" applyNumberFormat="1" applyFont="1" applyFill="1" applyBorder="1" applyAlignment="1" applyProtection="1">
      <alignment horizontal="left" vertical="center" wrapText="1"/>
      <protection hidden="1"/>
    </xf>
    <xf numFmtId="179" fontId="3" fillId="25" borderId="46" xfId="0" applyNumberFormat="1" applyFont="1" applyFill="1" applyBorder="1" applyAlignment="1" applyProtection="1">
      <alignment horizontal="left" vertical="center" wrapText="1"/>
      <protection hidden="1"/>
    </xf>
    <xf numFmtId="179" fontId="3" fillId="25" borderId="110" xfId="0" applyNumberFormat="1" applyFont="1" applyFill="1" applyBorder="1" applyAlignment="1" applyProtection="1">
      <alignment horizontal="left" vertical="center" wrapText="1"/>
      <protection hidden="1"/>
    </xf>
    <xf numFmtId="179" fontId="3" fillId="25" borderId="47" xfId="0" applyNumberFormat="1" applyFont="1" applyFill="1" applyBorder="1" applyAlignment="1" applyProtection="1">
      <alignment horizontal="left" vertical="center" wrapText="1"/>
      <protection hidden="1"/>
    </xf>
    <xf numFmtId="0" fontId="156" fillId="0" borderId="23" xfId="0" applyFont="1" applyBorder="1" applyAlignment="1">
      <alignment horizontal="center" vertical="center"/>
    </xf>
    <xf numFmtId="0" fontId="156" fillId="0" borderId="0" xfId="0" applyFont="1" applyAlignment="1">
      <alignment horizontal="center" vertical="center"/>
    </xf>
    <xf numFmtId="0" fontId="156" fillId="0" borderId="20" xfId="0" applyFont="1" applyBorder="1" applyAlignment="1">
      <alignment horizontal="center" vertical="center"/>
    </xf>
    <xf numFmtId="0" fontId="0" fillId="0" borderId="237" xfId="0" applyBorder="1" applyAlignment="1">
      <alignment horizontal="left" vertical="center" shrinkToFit="1"/>
    </xf>
    <xf numFmtId="0" fontId="0" fillId="0" borderId="229" xfId="0" applyBorder="1" applyAlignment="1">
      <alignment horizontal="left" vertical="center" shrinkToFit="1"/>
    </xf>
    <xf numFmtId="0" fontId="0" fillId="0" borderId="230" xfId="0" applyBorder="1" applyAlignment="1">
      <alignment horizontal="left" vertical="center" shrinkToFit="1"/>
    </xf>
    <xf numFmtId="0" fontId="0" fillId="44" borderId="26" xfId="0" applyFill="1" applyBorder="1" applyAlignment="1" applyProtection="1">
      <alignment horizontal="left" vertical="center"/>
      <protection locked="0"/>
    </xf>
    <xf numFmtId="0" fontId="0" fillId="44" borderId="49" xfId="0" applyFill="1" applyBorder="1" applyAlignment="1" applyProtection="1">
      <alignment horizontal="left" vertical="center"/>
      <protection locked="0"/>
    </xf>
    <xf numFmtId="0" fontId="0" fillId="44" borderId="50" xfId="0" applyFill="1" applyBorder="1" applyAlignment="1" applyProtection="1">
      <alignment horizontal="left" vertical="center"/>
      <protection locked="0"/>
    </xf>
    <xf numFmtId="0" fontId="0" fillId="41" borderId="237" xfId="0" applyFill="1" applyBorder="1" applyAlignment="1">
      <alignment horizontal="left" vertical="center"/>
    </xf>
    <xf numFmtId="0" fontId="0" fillId="41" borderId="234" xfId="0" applyFill="1" applyBorder="1" applyAlignment="1">
      <alignment horizontal="left" vertical="center"/>
    </xf>
    <xf numFmtId="0" fontId="0" fillId="41" borderId="236" xfId="0" applyFill="1" applyBorder="1" applyAlignment="1">
      <alignment horizontal="left" vertical="center"/>
    </xf>
    <xf numFmtId="0" fontId="0" fillId="41" borderId="21" xfId="0" applyFill="1" applyBorder="1" applyAlignment="1">
      <alignment horizontal="left" vertical="center"/>
    </xf>
    <xf numFmtId="0" fontId="5" fillId="48" borderId="237" xfId="0" applyFont="1" applyFill="1" applyBorder="1" applyAlignment="1">
      <alignment horizontal="center" vertical="center"/>
    </xf>
    <xf numFmtId="0" fontId="5" fillId="48" borderId="229" xfId="0" applyFont="1" applyFill="1" applyBorder="1" applyAlignment="1">
      <alignment horizontal="center" vertical="center"/>
    </xf>
    <xf numFmtId="0" fontId="5" fillId="48" borderId="230" xfId="0" applyFont="1" applyFill="1" applyBorder="1" applyAlignment="1">
      <alignment horizontal="center" vertical="center"/>
    </xf>
    <xf numFmtId="0" fontId="0" fillId="0" borderId="229" xfId="0" applyBorder="1" applyAlignment="1">
      <alignment vertical="top" wrapText="1"/>
    </xf>
    <xf numFmtId="0" fontId="0" fillId="0" borderId="248" xfId="0" applyBorder="1" applyAlignment="1">
      <alignment vertical="top" wrapText="1"/>
    </xf>
    <xf numFmtId="0" fontId="0" fillId="0" borderId="264" xfId="0" applyBorder="1" applyAlignment="1">
      <alignment horizontal="center" vertical="center" shrinkToFit="1"/>
    </xf>
    <xf numFmtId="0" fontId="0" fillId="0" borderId="265" xfId="0" applyBorder="1" applyAlignment="1">
      <alignment horizontal="center" vertical="center" shrinkToFit="1"/>
    </xf>
    <xf numFmtId="0" fontId="0" fillId="44" borderId="269" xfId="0" applyFill="1" applyBorder="1" applyAlignment="1" applyProtection="1">
      <alignment horizontal="left" vertical="center"/>
      <protection locked="0"/>
    </xf>
    <xf numFmtId="0" fontId="0" fillId="44" borderId="264" xfId="0" applyFill="1" applyBorder="1" applyAlignment="1" applyProtection="1">
      <alignment horizontal="left" vertical="center"/>
      <protection locked="0"/>
    </xf>
    <xf numFmtId="0" fontId="0" fillId="44" borderId="265" xfId="0" applyFill="1" applyBorder="1" applyAlignment="1" applyProtection="1">
      <alignment horizontal="left" vertical="center"/>
      <protection locked="0"/>
    </xf>
    <xf numFmtId="0" fontId="0" fillId="44" borderId="255" xfId="0" applyFill="1" applyBorder="1" applyAlignment="1" applyProtection="1">
      <alignment horizontal="left" vertical="center"/>
      <protection locked="0"/>
    </xf>
    <xf numFmtId="0" fontId="0" fillId="44" borderId="250" xfId="0" applyFill="1" applyBorder="1" applyAlignment="1" applyProtection="1">
      <alignment horizontal="left" vertical="center"/>
      <protection locked="0"/>
    </xf>
    <xf numFmtId="0" fontId="0" fillId="44" borderId="251" xfId="0" applyFill="1" applyBorder="1" applyAlignment="1" applyProtection="1">
      <alignment horizontal="left" vertical="center"/>
      <protection locked="0"/>
    </xf>
    <xf numFmtId="14" fontId="0" fillId="44" borderId="269" xfId="0" applyNumberFormat="1" applyFill="1" applyBorder="1" applyAlignment="1" applyProtection="1">
      <alignment horizontal="left" vertical="center"/>
      <protection locked="0"/>
    </xf>
    <xf numFmtId="0" fontId="5" fillId="48" borderId="256" xfId="0" applyFont="1" applyFill="1" applyBorder="1" applyAlignment="1">
      <alignment horizontal="center" vertical="center"/>
    </xf>
    <xf numFmtId="0" fontId="5" fillId="48" borderId="270" xfId="0" applyFont="1" applyFill="1" applyBorder="1" applyAlignment="1">
      <alignment horizontal="center" vertical="center"/>
    </xf>
    <xf numFmtId="0" fontId="3" fillId="25" borderId="104" xfId="0" applyFont="1" applyFill="1" applyBorder="1" applyAlignment="1" applyProtection="1">
      <alignment horizontal="center" vertical="center"/>
      <protection hidden="1"/>
    </xf>
    <xf numFmtId="0" fontId="3" fillId="25" borderId="15" xfId="0" applyFont="1" applyFill="1" applyBorder="1" applyAlignment="1">
      <alignment horizontal="left" vertical="center" wrapText="1"/>
    </xf>
    <xf numFmtId="0" fontId="3" fillId="25" borderId="111" xfId="0" applyFont="1" applyFill="1" applyBorder="1" applyAlignment="1">
      <alignment horizontal="left" vertical="center" wrapText="1"/>
    </xf>
    <xf numFmtId="0" fontId="3" fillId="25" borderId="112" xfId="0" applyFont="1" applyFill="1" applyBorder="1" applyAlignment="1">
      <alignment horizontal="left" vertical="center" wrapText="1"/>
    </xf>
    <xf numFmtId="0" fontId="3" fillId="25" borderId="46" xfId="0" applyFont="1" applyFill="1" applyBorder="1" applyAlignment="1">
      <alignment horizontal="left" vertical="center" wrapText="1"/>
    </xf>
    <xf numFmtId="0" fontId="3" fillId="25" borderId="110" xfId="0" applyFont="1" applyFill="1" applyBorder="1" applyAlignment="1">
      <alignment horizontal="left" vertical="center" wrapText="1"/>
    </xf>
    <xf numFmtId="0" fontId="3" fillId="25" borderId="47" xfId="0" applyFont="1" applyFill="1" applyBorder="1" applyAlignment="1">
      <alignment horizontal="left" vertical="center" wrapText="1"/>
    </xf>
    <xf numFmtId="0" fontId="3" fillId="25" borderId="69" xfId="0" applyFont="1" applyFill="1" applyBorder="1" applyAlignment="1">
      <alignment horizontal="left" vertical="center" wrapText="1"/>
    </xf>
    <xf numFmtId="0" fontId="3" fillId="25" borderId="21" xfId="0" applyFont="1" applyFill="1" applyBorder="1" applyAlignment="1">
      <alignment horizontal="left" vertical="center" wrapText="1"/>
    </xf>
    <xf numFmtId="0" fontId="3" fillId="25" borderId="51" xfId="0" applyFont="1" applyFill="1" applyBorder="1" applyAlignment="1">
      <alignment horizontal="left" vertical="center" wrapText="1"/>
    </xf>
    <xf numFmtId="0" fontId="0" fillId="0" borderId="116" xfId="0" applyBorder="1" applyAlignment="1">
      <alignment horizontal="center" vertical="center"/>
    </xf>
    <xf numFmtId="0" fontId="0" fillId="0" borderId="104" xfId="0" applyBorder="1" applyAlignment="1">
      <alignment horizontal="center" vertical="center"/>
    </xf>
    <xf numFmtId="0" fontId="3" fillId="45" borderId="224" xfId="0" applyFont="1" applyFill="1" applyBorder="1" applyAlignment="1">
      <alignment horizontal="left" vertical="center" wrapText="1"/>
    </xf>
    <xf numFmtId="0" fontId="3" fillId="45" borderId="219" xfId="0" applyFont="1" applyFill="1" applyBorder="1" applyAlignment="1">
      <alignment horizontal="left" vertical="center" wrapText="1"/>
    </xf>
    <xf numFmtId="0" fontId="3" fillId="45" borderId="225" xfId="0" applyFont="1" applyFill="1" applyBorder="1" applyAlignment="1">
      <alignment horizontal="left" vertical="center" wrapText="1"/>
    </xf>
    <xf numFmtId="0" fontId="3" fillId="45" borderId="11" xfId="0" applyFont="1" applyFill="1" applyBorder="1" applyAlignment="1">
      <alignment vertical="center" wrapText="1"/>
    </xf>
    <xf numFmtId="0" fontId="0" fillId="0" borderId="0" xfId="0" applyAlignment="1">
      <alignment vertical="center" wrapText="1"/>
    </xf>
    <xf numFmtId="0" fontId="0" fillId="0" borderId="16" xfId="0" applyBorder="1" applyAlignment="1">
      <alignment vertical="center" wrapText="1"/>
    </xf>
    <xf numFmtId="0" fontId="3" fillId="25" borderId="133" xfId="0" applyFont="1" applyFill="1" applyBorder="1" applyAlignment="1" applyProtection="1">
      <alignment horizontal="left" vertical="center" wrapText="1"/>
      <protection hidden="1"/>
    </xf>
    <xf numFmtId="0" fontId="3" fillId="25" borderId="134" xfId="0" applyFont="1" applyFill="1" applyBorder="1" applyAlignment="1" applyProtection="1">
      <alignment horizontal="left" vertical="center" wrapText="1"/>
      <protection hidden="1"/>
    </xf>
    <xf numFmtId="0" fontId="3" fillId="25" borderId="15" xfId="0" applyFont="1" applyFill="1" applyBorder="1" applyAlignment="1" applyProtection="1">
      <alignment horizontal="left" vertical="center" wrapText="1"/>
      <protection hidden="1"/>
    </xf>
    <xf numFmtId="0" fontId="3" fillId="25" borderId="112" xfId="0" applyFont="1" applyFill="1" applyBorder="1" applyAlignment="1" applyProtection="1">
      <alignment horizontal="left" vertical="center" wrapText="1"/>
      <protection hidden="1"/>
    </xf>
    <xf numFmtId="180" fontId="13" fillId="26" borderId="208" xfId="51" applyNumberFormat="1" applyFont="1" applyFill="1" applyBorder="1" applyAlignment="1">
      <alignment horizontal="center" vertical="center"/>
    </xf>
    <xf numFmtId="180" fontId="13" fillId="26" borderId="209" xfId="51" applyNumberFormat="1" applyFont="1" applyFill="1" applyBorder="1" applyAlignment="1">
      <alignment horizontal="center" vertical="center"/>
    </xf>
    <xf numFmtId="0" fontId="169" fillId="0" borderId="21" xfId="0" applyFont="1" applyBorder="1" applyAlignment="1">
      <alignment horizontal="center" vertical="center"/>
    </xf>
    <xf numFmtId="0" fontId="169" fillId="0" borderId="0" xfId="0" applyFont="1" applyAlignment="1">
      <alignment horizontal="right" vertical="center"/>
    </xf>
    <xf numFmtId="0" fontId="162" fillId="51" borderId="40" xfId="0" applyFont="1" applyFill="1" applyBorder="1" applyAlignment="1">
      <alignment horizontal="center" vertical="center" wrapText="1"/>
    </xf>
    <xf numFmtId="0" fontId="162" fillId="51" borderId="104" xfId="0" applyFont="1" applyFill="1" applyBorder="1" applyAlignment="1">
      <alignment horizontal="center" vertical="center" wrapText="1"/>
    </xf>
    <xf numFmtId="0" fontId="162" fillId="51" borderId="67" xfId="0" applyFont="1" applyFill="1" applyBorder="1" applyAlignment="1">
      <alignment horizontal="center" vertical="center"/>
    </xf>
    <xf numFmtId="0" fontId="162" fillId="51" borderId="189" xfId="0" applyFont="1" applyFill="1" applyBorder="1" applyAlignment="1">
      <alignment horizontal="center" vertical="center"/>
    </xf>
    <xf numFmtId="0" fontId="162" fillId="51" borderId="94" xfId="0" applyFont="1" applyFill="1" applyBorder="1" applyAlignment="1">
      <alignment horizontal="center" vertical="center"/>
    </xf>
    <xf numFmtId="0" fontId="162" fillId="51" borderId="51" xfId="0" applyFont="1" applyFill="1" applyBorder="1" applyAlignment="1">
      <alignment horizontal="center" vertical="center"/>
    </xf>
    <xf numFmtId="0" fontId="162" fillId="51" borderId="66" xfId="0" applyFont="1" applyFill="1" applyBorder="1" applyAlignment="1">
      <alignment horizontal="center" vertical="center" wrapText="1"/>
    </xf>
    <xf numFmtId="0" fontId="162" fillId="51" borderId="69" xfId="0" applyFont="1" applyFill="1" applyBorder="1" applyAlignment="1">
      <alignment horizontal="center" vertical="center" wrapText="1"/>
    </xf>
    <xf numFmtId="0" fontId="162" fillId="51" borderId="285" xfId="0" applyFont="1" applyFill="1" applyBorder="1" applyAlignment="1">
      <alignment horizontal="center" vertical="center" wrapText="1"/>
    </xf>
    <xf numFmtId="0" fontId="162" fillId="51" borderId="288" xfId="0" applyFont="1" applyFill="1" applyBorder="1" applyAlignment="1">
      <alignment horizontal="center" vertical="center" wrapText="1"/>
    </xf>
    <xf numFmtId="0" fontId="162" fillId="51" borderId="48" xfId="0" applyFont="1" applyFill="1" applyBorder="1" applyAlignment="1">
      <alignment horizontal="center" vertical="center" wrapText="1"/>
    </xf>
    <xf numFmtId="0" fontId="162" fillId="51" borderId="39" xfId="0" applyFont="1" applyFill="1" applyBorder="1" applyAlignment="1">
      <alignment horizontal="center" vertical="center" wrapText="1"/>
    </xf>
    <xf numFmtId="0" fontId="170" fillId="51" borderId="48" xfId="0" applyFont="1" applyFill="1" applyBorder="1" applyAlignment="1">
      <alignment horizontal="center" vertical="center"/>
    </xf>
    <xf numFmtId="0" fontId="170" fillId="51" borderId="39" xfId="0" applyFont="1" applyFill="1" applyBorder="1" applyAlignment="1">
      <alignment horizontal="center" vertical="center"/>
    </xf>
    <xf numFmtId="0" fontId="170" fillId="51" borderId="17" xfId="0" applyFont="1" applyFill="1" applyBorder="1" applyAlignment="1">
      <alignment horizontal="center" vertical="center"/>
    </xf>
    <xf numFmtId="0" fontId="164" fillId="51" borderId="40" xfId="0" applyFont="1" applyFill="1" applyBorder="1" applyAlignment="1">
      <alignment horizontal="center" vertical="center" textRotation="255"/>
    </xf>
    <xf numFmtId="0" fontId="164" fillId="51" borderId="104" xfId="0" applyFont="1" applyFill="1" applyBorder="1" applyAlignment="1">
      <alignment horizontal="center" vertical="center" textRotation="255"/>
    </xf>
    <xf numFmtId="0" fontId="13" fillId="0" borderId="11" xfId="0" applyFont="1" applyBorder="1" applyAlignment="1">
      <alignment horizontal="center" vertical="center" textRotation="255"/>
    </xf>
    <xf numFmtId="0" fontId="38" fillId="0" borderId="0" xfId="0" applyFont="1" applyAlignment="1">
      <alignment horizontal="center" vertical="center"/>
    </xf>
    <xf numFmtId="0" fontId="38" fillId="0" borderId="321" xfId="0" applyFont="1" applyBorder="1" applyAlignment="1">
      <alignment horizontal="center" vertical="center" shrinkToFit="1"/>
    </xf>
    <xf numFmtId="0" fontId="38" fillId="0" borderId="322" xfId="0" applyFont="1" applyBorder="1" applyAlignment="1">
      <alignment horizontal="center" vertical="center" shrinkToFit="1"/>
    </xf>
    <xf numFmtId="0" fontId="38" fillId="0" borderId="323" xfId="0" applyFont="1" applyBorder="1" applyAlignment="1">
      <alignment horizontal="center" vertical="center" shrinkToFit="1"/>
    </xf>
    <xf numFmtId="49" fontId="3" fillId="43" borderId="39" xfId="0" applyNumberFormat="1" applyFont="1" applyFill="1" applyBorder="1" applyAlignment="1">
      <alignment horizontal="center" wrapText="1"/>
    </xf>
    <xf numFmtId="49" fontId="3" fillId="43" borderId="39" xfId="0" applyNumberFormat="1" applyFont="1" applyFill="1" applyBorder="1" applyAlignment="1">
      <alignment horizontal="center"/>
    </xf>
    <xf numFmtId="0" fontId="164" fillId="54" borderId="40" xfId="0" applyFont="1" applyFill="1" applyBorder="1" applyAlignment="1">
      <alignment horizontal="left" vertical="top" wrapText="1"/>
    </xf>
    <xf numFmtId="0" fontId="164" fillId="54" borderId="116" xfId="0" applyFont="1" applyFill="1" applyBorder="1" applyAlignment="1">
      <alignment horizontal="left" vertical="top" wrapText="1"/>
    </xf>
    <xf numFmtId="0" fontId="164" fillId="54" borderId="11" xfId="0" applyFont="1" applyFill="1" applyBorder="1" applyAlignment="1">
      <alignment horizontal="left" vertical="top" wrapText="1"/>
    </xf>
    <xf numFmtId="49" fontId="3" fillId="0" borderId="290" xfId="0" applyNumberFormat="1" applyFont="1" applyBorder="1" applyAlignment="1">
      <alignment horizontal="center" vertical="center" shrinkToFit="1"/>
    </xf>
    <xf numFmtId="49" fontId="3" fillId="0" borderId="186" xfId="0" applyNumberFormat="1" applyFont="1" applyBorder="1" applyAlignment="1">
      <alignment horizontal="center" vertical="center" shrinkToFit="1"/>
    </xf>
    <xf numFmtId="49" fontId="3" fillId="0" borderId="187" xfId="0" applyNumberFormat="1" applyFont="1" applyBorder="1" applyAlignment="1">
      <alignment horizontal="center" vertical="center" shrinkToFit="1"/>
    </xf>
    <xf numFmtId="49" fontId="3" fillId="0" borderId="291" xfId="0" applyNumberFormat="1" applyFont="1" applyBorder="1" applyAlignment="1">
      <alignment horizontal="left" vertical="center" wrapText="1" shrinkToFit="1"/>
    </xf>
    <xf numFmtId="49" fontId="3" fillId="0" borderId="293" xfId="0" applyNumberFormat="1" applyFont="1" applyBorder="1" applyAlignment="1">
      <alignment horizontal="left" vertical="center" wrapText="1" shrinkToFit="1"/>
    </xf>
    <xf numFmtId="49" fontId="3" fillId="0" borderId="288" xfId="0" applyNumberFormat="1" applyFont="1" applyBorder="1" applyAlignment="1">
      <alignment horizontal="left" vertical="center" wrapText="1" shrinkToFit="1"/>
    </xf>
    <xf numFmtId="49" fontId="68" fillId="0" borderId="114" xfId="0" applyNumberFormat="1" applyFont="1" applyBorder="1" applyAlignment="1">
      <alignment horizontal="center" vertical="top" shrinkToFit="1"/>
    </xf>
    <xf numFmtId="49" fontId="68" fillId="0" borderId="0" xfId="0" applyNumberFormat="1" applyFont="1" applyAlignment="1">
      <alignment horizontal="center" vertical="top" shrinkToFit="1"/>
    </xf>
    <xf numFmtId="49" fontId="68" fillId="0" borderId="21" xfId="0" applyNumberFormat="1" applyFont="1" applyBorder="1" applyAlignment="1">
      <alignment horizontal="center" vertical="top" shrinkToFit="1"/>
    </xf>
    <xf numFmtId="0" fontId="162" fillId="51" borderId="67" xfId="0" applyFont="1" applyFill="1" applyBorder="1" applyAlignment="1">
      <alignment horizontal="center" vertical="center" wrapText="1"/>
    </xf>
    <xf numFmtId="0" fontId="162" fillId="51" borderId="21" xfId="0" applyFont="1" applyFill="1" applyBorder="1" applyAlignment="1">
      <alignment horizontal="center" vertical="center" wrapText="1"/>
    </xf>
    <xf numFmtId="49" fontId="162" fillId="51" borderId="110" xfId="0" applyNumberFormat="1" applyFont="1" applyFill="1" applyBorder="1" applyAlignment="1">
      <alignment horizontal="center" vertical="center" wrapText="1"/>
    </xf>
    <xf numFmtId="49" fontId="162" fillId="51" borderId="286" xfId="0" applyNumberFormat="1" applyFont="1" applyFill="1" applyBorder="1" applyAlignment="1">
      <alignment horizontal="center" vertical="center" wrapText="1"/>
    </xf>
    <xf numFmtId="49" fontId="162" fillId="51" borderId="287" xfId="0" applyNumberFormat="1" applyFont="1" applyFill="1" applyBorder="1" applyAlignment="1">
      <alignment horizontal="center" vertical="center" wrapText="1"/>
    </xf>
    <xf numFmtId="0" fontId="13" fillId="43" borderId="48" xfId="0" applyFont="1" applyFill="1" applyBorder="1" applyAlignment="1">
      <alignment horizontal="center" wrapText="1"/>
    </xf>
    <xf numFmtId="0" fontId="13" fillId="43" borderId="39" xfId="0" applyFont="1" applyFill="1" applyBorder="1" applyAlignment="1">
      <alignment horizontal="center" wrapText="1"/>
    </xf>
    <xf numFmtId="49" fontId="68" fillId="0" borderId="67" xfId="0" applyNumberFormat="1" applyFont="1" applyBorder="1" applyAlignment="1">
      <alignment horizontal="center" vertical="top" shrinkToFit="1"/>
    </xf>
    <xf numFmtId="49" fontId="3" fillId="0" borderId="158" xfId="0" applyNumberFormat="1" applyFont="1" applyBorder="1" applyAlignment="1">
      <alignment horizontal="left" vertical="center" wrapText="1" shrinkToFit="1"/>
    </xf>
    <xf numFmtId="49" fontId="3" fillId="0" borderId="191" xfId="0" applyNumberFormat="1" applyFont="1" applyBorder="1" applyAlignment="1">
      <alignment horizontal="left" vertical="center" wrapText="1" shrinkToFit="1"/>
    </xf>
    <xf numFmtId="49" fontId="157" fillId="0" borderId="313" xfId="0" applyNumberFormat="1" applyFont="1" applyBorder="1" applyAlignment="1">
      <alignment horizontal="center" vertical="center" shrinkToFit="1"/>
    </xf>
    <xf numFmtId="49" fontId="157" fillId="0" borderId="186" xfId="0" applyNumberFormat="1" applyFont="1" applyBorder="1" applyAlignment="1">
      <alignment horizontal="center" vertical="center" shrinkToFit="1"/>
    </xf>
    <xf numFmtId="49" fontId="3" fillId="0" borderId="285" xfId="0" applyNumberFormat="1" applyFont="1" applyBorder="1" applyAlignment="1">
      <alignment horizontal="left" vertical="center" wrapText="1" shrinkToFit="1"/>
    </xf>
    <xf numFmtId="0" fontId="13" fillId="57" borderId="66" xfId="0" applyFont="1" applyFill="1" applyBorder="1" applyAlignment="1">
      <alignment horizontal="left" vertical="top" wrapText="1"/>
    </xf>
    <xf numFmtId="0" fontId="13" fillId="57" borderId="11" xfId="0" applyFont="1" applyFill="1" applyBorder="1" applyAlignment="1">
      <alignment horizontal="left" vertical="top" wrapText="1"/>
    </xf>
    <xf numFmtId="49" fontId="157" fillId="0" borderId="187" xfId="0" applyNumberFormat="1" applyFont="1" applyBorder="1" applyAlignment="1">
      <alignment horizontal="center" vertical="center" shrinkToFit="1"/>
    </xf>
    <xf numFmtId="49" fontId="167" fillId="0" borderId="67" xfId="0" applyNumberFormat="1" applyFont="1" applyBorder="1" applyAlignment="1">
      <alignment horizontal="center" vertical="top" shrinkToFit="1"/>
    </xf>
    <xf numFmtId="49" fontId="167" fillId="0" borderId="21" xfId="0" applyNumberFormat="1" applyFont="1" applyBorder="1" applyAlignment="1">
      <alignment horizontal="center" vertical="top" shrinkToFit="1"/>
    </xf>
    <xf numFmtId="0" fontId="13" fillId="56" borderId="40" xfId="0" applyFont="1" applyFill="1" applyBorder="1" applyAlignment="1">
      <alignment horizontal="left" vertical="top" wrapText="1"/>
    </xf>
    <xf numFmtId="0" fontId="13" fillId="56" borderId="116" xfId="0" applyFont="1" applyFill="1" applyBorder="1" applyAlignment="1">
      <alignment horizontal="left" vertical="top" wrapText="1"/>
    </xf>
    <xf numFmtId="49" fontId="3" fillId="0" borderId="313" xfId="0" applyNumberFormat="1" applyFont="1" applyBorder="1" applyAlignment="1">
      <alignment horizontal="center" vertical="center" shrinkToFit="1"/>
    </xf>
    <xf numFmtId="0" fontId="13" fillId="56" borderId="11" xfId="0" applyFont="1" applyFill="1" applyBorder="1" applyAlignment="1">
      <alignment horizontal="left" vertical="top" wrapText="1"/>
    </xf>
    <xf numFmtId="0" fontId="13" fillId="57" borderId="40" xfId="0" applyFont="1" applyFill="1" applyBorder="1" applyAlignment="1">
      <alignment horizontal="center" vertical="top" wrapText="1"/>
    </xf>
    <xf numFmtId="0" fontId="13" fillId="57" borderId="116" xfId="0" applyFont="1" applyFill="1" applyBorder="1" applyAlignment="1">
      <alignment horizontal="center" vertical="top" wrapText="1"/>
    </xf>
    <xf numFmtId="0" fontId="13" fillId="57" borderId="104" xfId="0" applyFont="1" applyFill="1" applyBorder="1" applyAlignment="1">
      <alignment horizontal="center" vertical="top" wrapText="1"/>
    </xf>
    <xf numFmtId="0" fontId="13" fillId="58" borderId="40" xfId="0" applyFont="1" applyFill="1" applyBorder="1" applyAlignment="1">
      <alignment horizontal="left" vertical="top" wrapText="1"/>
    </xf>
    <xf numFmtId="0" fontId="13" fillId="58" borderId="116" xfId="0" applyFont="1" applyFill="1" applyBorder="1" applyAlignment="1">
      <alignment horizontal="left" vertical="top" wrapText="1"/>
    </xf>
    <xf numFmtId="0" fontId="13" fillId="58" borderId="66" xfId="0" applyFont="1" applyFill="1" applyBorder="1" applyAlignment="1">
      <alignment horizontal="left" vertical="top" wrapText="1"/>
    </xf>
    <xf numFmtId="0" fontId="13" fillId="58" borderId="11" xfId="0" applyFont="1" applyFill="1" applyBorder="1" applyAlignment="1">
      <alignment horizontal="left" vertical="top" wrapText="1"/>
    </xf>
    <xf numFmtId="0" fontId="13" fillId="59" borderId="40" xfId="0" applyFont="1" applyFill="1" applyBorder="1" applyAlignment="1">
      <alignment horizontal="left" vertical="top" wrapText="1"/>
    </xf>
    <xf numFmtId="0" fontId="13" fillId="59" borderId="116" xfId="0" applyFont="1" applyFill="1" applyBorder="1" applyAlignment="1">
      <alignment horizontal="left" vertical="top" wrapText="1"/>
    </xf>
    <xf numFmtId="0" fontId="13" fillId="59" borderId="104" xfId="0" applyFont="1" applyFill="1" applyBorder="1" applyAlignment="1">
      <alignment horizontal="left" vertical="top" wrapText="1"/>
    </xf>
    <xf numFmtId="0" fontId="13" fillId="59" borderId="66" xfId="0" applyFont="1" applyFill="1" applyBorder="1" applyAlignment="1">
      <alignment horizontal="left" vertical="top" wrapText="1"/>
    </xf>
    <xf numFmtId="0" fontId="13" fillId="59" borderId="11" xfId="0" applyFont="1" applyFill="1" applyBorder="1" applyAlignment="1">
      <alignment horizontal="left" vertical="top" wrapText="1"/>
    </xf>
    <xf numFmtId="0" fontId="13" fillId="59" borderId="69" xfId="0" applyFont="1" applyFill="1" applyBorder="1" applyAlignment="1">
      <alignment horizontal="left" vertical="top" wrapText="1"/>
    </xf>
    <xf numFmtId="49" fontId="3" fillId="0" borderId="285" xfId="0" applyNumberFormat="1" applyFont="1" applyBorder="1" applyAlignment="1">
      <alignment horizontal="center" vertical="center" wrapText="1" shrinkToFit="1"/>
    </xf>
    <xf numFmtId="49" fontId="3" fillId="0" borderId="288" xfId="0" applyNumberFormat="1" applyFont="1" applyBorder="1" applyAlignment="1">
      <alignment horizontal="center" vertical="center" wrapText="1" shrinkToFit="1"/>
    </xf>
    <xf numFmtId="0" fontId="0" fillId="0" borderId="16" xfId="0" applyBorder="1" applyAlignment="1">
      <alignment horizontal="center" vertical="top" wrapText="1"/>
    </xf>
    <xf numFmtId="0" fontId="0" fillId="0" borderId="16" xfId="0" applyBorder="1" applyAlignment="1">
      <alignment horizontal="center" vertical="top"/>
    </xf>
    <xf numFmtId="0" fontId="13" fillId="63" borderId="116" xfId="0" applyFont="1" applyFill="1" applyBorder="1" applyAlignment="1">
      <alignment horizontal="left" vertical="top" wrapText="1"/>
    </xf>
    <xf numFmtId="0" fontId="13" fillId="63" borderId="11" xfId="0" applyFont="1" applyFill="1" applyBorder="1" applyAlignment="1">
      <alignment horizontal="left" vertical="top" wrapText="1"/>
    </xf>
    <xf numFmtId="0" fontId="13" fillId="60" borderId="40" xfId="0" applyFont="1" applyFill="1" applyBorder="1" applyAlignment="1">
      <alignment horizontal="left" vertical="top" wrapText="1"/>
    </xf>
    <xf numFmtId="0" fontId="13" fillId="60" borderId="116" xfId="0" applyFont="1" applyFill="1" applyBorder="1" applyAlignment="1">
      <alignment horizontal="left" vertical="top" wrapText="1"/>
    </xf>
    <xf numFmtId="0" fontId="13" fillId="60" borderId="66" xfId="0" applyFont="1" applyFill="1" applyBorder="1" applyAlignment="1">
      <alignment horizontal="left" vertical="top" wrapText="1"/>
    </xf>
    <xf numFmtId="0" fontId="13" fillId="60" borderId="11" xfId="0" applyFont="1" applyFill="1" applyBorder="1" applyAlignment="1">
      <alignment horizontal="left" vertical="top" wrapText="1"/>
    </xf>
    <xf numFmtId="49" fontId="3" fillId="0" borderId="293" xfId="0" applyNumberFormat="1" applyFont="1" applyBorder="1" applyAlignment="1">
      <alignment horizontal="center" vertical="center" wrapText="1" shrinkToFit="1"/>
    </xf>
    <xf numFmtId="0" fontId="13" fillId="64" borderId="40" xfId="0" applyFont="1" applyFill="1" applyBorder="1" applyAlignment="1">
      <alignment horizontal="left" vertical="top" wrapText="1"/>
    </xf>
    <xf numFmtId="0" fontId="13" fillId="64" borderId="116" xfId="0" applyFont="1" applyFill="1" applyBorder="1" applyAlignment="1">
      <alignment horizontal="left" vertical="top" wrapText="1"/>
    </xf>
    <xf numFmtId="0" fontId="13" fillId="64" borderId="66" xfId="0" applyFont="1" applyFill="1" applyBorder="1" applyAlignment="1">
      <alignment horizontal="left" vertical="top" wrapText="1"/>
    </xf>
    <xf numFmtId="0" fontId="13" fillId="64" borderId="11" xfId="0" applyFont="1" applyFill="1" applyBorder="1" applyAlignment="1">
      <alignment horizontal="left" vertical="top" wrapText="1"/>
    </xf>
    <xf numFmtId="214" fontId="168" fillId="0" borderId="0" xfId="0" applyNumberFormat="1" applyFont="1" applyAlignment="1">
      <alignment horizontal="right" vertical="center"/>
    </xf>
    <xf numFmtId="0" fontId="13" fillId="65" borderId="11" xfId="0" applyFont="1" applyFill="1" applyBorder="1" applyAlignment="1">
      <alignment horizontal="left" vertical="top" wrapText="1"/>
    </xf>
    <xf numFmtId="0" fontId="13" fillId="46" borderId="10" xfId="0" applyFont="1" applyFill="1" applyBorder="1" applyAlignment="1">
      <alignment horizontal="center" vertical="center" wrapText="1"/>
    </xf>
    <xf numFmtId="40" fontId="13" fillId="46" borderId="10" xfId="0" applyNumberFormat="1" applyFont="1" applyFill="1" applyBorder="1" applyAlignment="1">
      <alignment horizontal="center" vertical="center" wrapText="1"/>
    </xf>
    <xf numFmtId="178" fontId="13" fillId="30" borderId="10" xfId="0" applyNumberFormat="1" applyFont="1" applyFill="1" applyBorder="1" applyAlignment="1" applyProtection="1">
      <alignment horizontal="left" vertical="center" wrapText="1"/>
      <protection locked="0"/>
    </xf>
    <xf numFmtId="40" fontId="13" fillId="25" borderId="42" xfId="0" applyNumberFormat="1" applyFont="1" applyFill="1" applyBorder="1" applyAlignment="1">
      <alignment horizontal="center" vertical="center" wrapText="1"/>
    </xf>
    <xf numFmtId="40" fontId="13" fillId="25" borderId="43" xfId="0" applyNumberFormat="1" applyFont="1" applyFill="1" applyBorder="1" applyAlignment="1">
      <alignment horizontal="center" vertical="center" wrapText="1"/>
    </xf>
    <xf numFmtId="40" fontId="13" fillId="25" borderId="46" xfId="0" applyNumberFormat="1" applyFont="1" applyFill="1" applyBorder="1" applyAlignment="1">
      <alignment horizontal="center" vertical="center" wrapText="1"/>
    </xf>
    <xf numFmtId="40" fontId="13" fillId="25" borderId="47" xfId="0" applyNumberFormat="1" applyFont="1" applyFill="1" applyBorder="1" applyAlignment="1">
      <alignment horizontal="center" vertical="center" wrapText="1"/>
    </xf>
    <xf numFmtId="0" fontId="13" fillId="25" borderId="66" xfId="0" applyFont="1" applyFill="1" applyBorder="1" applyAlignment="1">
      <alignment horizontal="center" vertical="center" wrapText="1"/>
    </xf>
    <xf numFmtId="0" fontId="13" fillId="25" borderId="67" xfId="0" applyFont="1" applyFill="1" applyBorder="1" applyAlignment="1">
      <alignment horizontal="center" vertical="center" wrapText="1"/>
    </xf>
    <xf numFmtId="0" fontId="13" fillId="25" borderId="94" xfId="0" applyFont="1" applyFill="1" applyBorder="1" applyAlignment="1">
      <alignment horizontal="center" vertical="center" wrapText="1"/>
    </xf>
    <xf numFmtId="0" fontId="13" fillId="25" borderId="104" xfId="0" applyFont="1" applyFill="1" applyBorder="1" applyAlignment="1">
      <alignment horizontal="center" vertical="center" wrapText="1"/>
    </xf>
    <xf numFmtId="40" fontId="13" fillId="25" borderId="10" xfId="0" applyNumberFormat="1" applyFont="1" applyFill="1" applyBorder="1" applyAlignment="1">
      <alignment horizontal="center" vertical="center" wrapText="1"/>
    </xf>
    <xf numFmtId="0" fontId="13" fillId="25" borderId="48" xfId="0" applyFont="1" applyFill="1" applyBorder="1" applyAlignment="1">
      <alignment horizontal="center" vertical="center"/>
    </xf>
    <xf numFmtId="0" fontId="13" fillId="25" borderId="17" xfId="0" applyFont="1" applyFill="1" applyBorder="1" applyAlignment="1">
      <alignment horizontal="center" vertical="center"/>
    </xf>
    <xf numFmtId="0" fontId="13" fillId="25" borderId="11" xfId="0" applyFont="1" applyFill="1" applyBorder="1" applyAlignment="1">
      <alignment horizontal="left" vertical="center" wrapText="1"/>
    </xf>
    <xf numFmtId="0" fontId="13" fillId="25" borderId="20" xfId="0" applyFont="1" applyFill="1" applyBorder="1" applyAlignment="1">
      <alignment horizontal="left" vertical="center" wrapText="1"/>
    </xf>
    <xf numFmtId="0" fontId="13" fillId="25" borderId="48" xfId="0" applyFont="1" applyFill="1" applyBorder="1" applyAlignment="1">
      <alignment horizontal="left" vertical="center" wrapText="1"/>
    </xf>
    <xf numFmtId="0" fontId="13" fillId="25" borderId="17" xfId="0" applyFont="1" applyFill="1" applyBorder="1" applyAlignment="1">
      <alignment horizontal="left" vertical="center" wrapText="1"/>
    </xf>
    <xf numFmtId="0" fontId="13" fillId="25" borderId="40" xfId="0" applyFont="1" applyFill="1" applyBorder="1" applyAlignment="1">
      <alignment horizontal="center" vertical="center" wrapText="1"/>
    </xf>
    <xf numFmtId="0" fontId="13" fillId="25" borderId="116" xfId="0" applyFont="1" applyFill="1" applyBorder="1" applyAlignment="1">
      <alignment horizontal="center" vertical="center" wrapText="1"/>
    </xf>
    <xf numFmtId="0" fontId="13" fillId="25" borderId="68" xfId="0" applyFont="1" applyFill="1" applyBorder="1" applyAlignment="1">
      <alignment horizontal="left" vertical="center" wrapText="1"/>
    </xf>
    <xf numFmtId="0" fontId="13" fillId="25" borderId="66" xfId="0" applyFont="1" applyFill="1" applyBorder="1" applyAlignment="1">
      <alignment horizontal="left" vertical="center" wrapText="1"/>
    </xf>
    <xf numFmtId="0" fontId="13" fillId="25" borderId="94" xfId="0" applyFont="1" applyFill="1" applyBorder="1" applyAlignment="1">
      <alignment horizontal="left" vertical="center" wrapText="1"/>
    </xf>
    <xf numFmtId="0" fontId="13" fillId="25" borderId="66" xfId="0" applyFont="1" applyFill="1" applyBorder="1" applyAlignment="1">
      <alignment horizontal="center" vertical="center"/>
    </xf>
    <xf numFmtId="0" fontId="13" fillId="25" borderId="67" xfId="0" applyFont="1" applyFill="1" applyBorder="1" applyAlignment="1">
      <alignment horizontal="center" vertical="center"/>
    </xf>
    <xf numFmtId="0" fontId="13" fillId="25" borderId="94" xfId="0" applyFont="1" applyFill="1" applyBorder="1" applyAlignment="1">
      <alignment horizontal="center" vertical="center"/>
    </xf>
    <xf numFmtId="0" fontId="13" fillId="25" borderId="69" xfId="0" applyFont="1" applyFill="1" applyBorder="1" applyAlignment="1">
      <alignment horizontal="center" vertical="center"/>
    </xf>
    <xf numFmtId="0" fontId="13" fillId="25" borderId="21" xfId="0" applyFont="1" applyFill="1" applyBorder="1" applyAlignment="1">
      <alignment horizontal="center" vertical="center"/>
    </xf>
    <xf numFmtId="0" fontId="13" fillId="25" borderId="51" xfId="0" applyFont="1" applyFill="1" applyBorder="1" applyAlignment="1">
      <alignment horizontal="center" vertical="center"/>
    </xf>
    <xf numFmtId="0" fontId="13" fillId="25" borderId="48" xfId="0" applyFont="1" applyFill="1" applyBorder="1" applyAlignment="1">
      <alignment horizontal="center" vertical="center" wrapText="1"/>
    </xf>
    <xf numFmtId="0" fontId="13" fillId="25" borderId="17" xfId="0" applyFont="1" applyFill="1" applyBorder="1" applyAlignment="1">
      <alignment horizontal="center" vertic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47" xr:uid="{00000000-0005-0000-0000-00001C000000}"/>
    <cellStyle name="パーセント 3" xfId="54" xr:uid="{28E19827-D52D-486A-B178-9D2DE02BFBDC}"/>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48" xr:uid="{00000000-0005-0000-0000-000024000000}"/>
    <cellStyle name="桁区切り 3" xfId="53" xr:uid="{E2573F78-5F7C-497C-854D-0BE2C472BD95}"/>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50" xr:uid="{00000000-0005-0000-0000-00002E000000}"/>
    <cellStyle name="標準 3" xfId="52" xr:uid="{D694A250-993B-4A72-9208-BEFCD22B4724}"/>
    <cellStyle name="標準 3 4" xfId="49" xr:uid="{00000000-0005-0000-0000-00002F000000}"/>
    <cellStyle name="標準_070627LCCO2計算" xfId="44" xr:uid="{00000000-0005-0000-0000-000030000000}"/>
    <cellStyle name="標準_070627LCCO2計算 2" xfId="51" xr:uid="{240836A8-AFB3-4BCC-98A0-DAAE5D435D32}"/>
    <cellStyle name="標準_選定シートV1.0" xfId="45" xr:uid="{00000000-0005-0000-0000-000031000000}"/>
    <cellStyle name="良い" xfId="46" builtinId="26" customBuiltin="1"/>
  </cellStyles>
  <dxfs count="176">
    <dxf>
      <font>
        <color rgb="FFFF0000"/>
      </font>
    </dxf>
    <dxf>
      <font>
        <color rgb="FFFF0000"/>
      </font>
    </dxf>
    <dxf>
      <font>
        <color rgb="FFFF0000"/>
      </font>
    </dxf>
    <dxf>
      <font>
        <color rgb="FFFF0000"/>
      </font>
    </dxf>
    <dxf>
      <font>
        <color rgb="FFFF0000"/>
      </font>
    </dxf>
    <dxf>
      <font>
        <color rgb="FFFF0000"/>
      </font>
    </dxf>
    <dxf>
      <fill>
        <patternFill>
          <bgColor theme="0" tint="-4.9989318521683403E-2"/>
        </patternFill>
      </fill>
    </dxf>
    <dxf>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41"/>
        </patternFill>
      </fill>
    </dxf>
    <dxf>
      <fill>
        <patternFill>
          <bgColor indexed="51"/>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theme="0" tint="-0.24994659260841701"/>
        </patternFill>
      </fill>
    </dxf>
    <dxf>
      <fill>
        <patternFill>
          <bgColor indexed="41"/>
        </patternFill>
      </fill>
    </dxf>
    <dxf>
      <fill>
        <patternFill>
          <bgColor theme="0" tint="-0.24994659260841701"/>
        </patternFill>
      </fill>
    </dxf>
    <dxf>
      <fill>
        <patternFill>
          <bgColor indexed="41"/>
        </patternFill>
      </fill>
    </dxf>
    <dxf>
      <fill>
        <patternFill>
          <bgColor theme="0" tint="-0.24994659260841701"/>
        </patternFill>
      </fill>
    </dxf>
    <dxf>
      <fill>
        <patternFill>
          <bgColor indexed="27"/>
        </patternFill>
      </fill>
    </dxf>
    <dxf>
      <font>
        <color theme="1"/>
      </font>
      <fill>
        <patternFill>
          <bgColor theme="0" tint="-0.499984740745262"/>
        </patternFill>
      </fill>
    </dxf>
    <dxf>
      <font>
        <color theme="1"/>
      </font>
      <fill>
        <patternFill>
          <bgColor theme="0" tint="-0.499984740745262"/>
        </patternFill>
      </fill>
    </dxf>
    <dxf>
      <font>
        <color theme="1"/>
      </font>
      <fill>
        <patternFill>
          <bgColor theme="0" tint="-0.499984740745262"/>
        </patternFill>
      </fill>
    </dxf>
    <dxf>
      <font>
        <color auto="1"/>
      </font>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indexed="10"/>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strike val="0"/>
        <color theme="1"/>
      </font>
      <fill>
        <patternFill>
          <bgColor rgb="FFCCFFFF"/>
        </patternFill>
      </fill>
    </dxf>
    <dxf>
      <fill>
        <patternFill>
          <bgColor indexed="27"/>
        </patternFill>
      </fill>
    </dxf>
    <dxf>
      <fill>
        <patternFill>
          <bgColor rgb="FFCCFFFF"/>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14"/>
        </patternFill>
      </fill>
    </dxf>
    <dxf>
      <fill>
        <patternFill>
          <bgColor indexed="14"/>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s>
  <tableStyles count="0" defaultTableStyle="TableStyleMedium9" defaultPivotStyle="PivotStyleLight16"/>
  <colors>
    <mruColors>
      <color rgb="FFFFFFCC"/>
      <color rgb="FFFFFF99"/>
      <color rgb="FF008000"/>
      <color rgb="FFC0C0C0"/>
      <color rgb="FFCCFF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calcChain" Target="calcChain.xml" />
  <Relationship Id="rId3" Type="http://schemas.openxmlformats.org/officeDocument/2006/relationships/worksheet" Target="worksheets/sheet3.xml" />
  <Relationship Id="rId21" Type="http://schemas.openxmlformats.org/officeDocument/2006/relationships/worksheet" Target="worksheets/sheet21.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sharedStrings" Target="sharedStrings.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worksheet" Target="worksheets/sheet20.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styles" Target="styles.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theme" Target="theme/theme1.xml" />
  <Relationship Id="rId10" Type="http://schemas.openxmlformats.org/officeDocument/2006/relationships/worksheet" Target="worksheets/sheet10.xml" />
  <Relationship Id="rId19" Type="http://schemas.openxmlformats.org/officeDocument/2006/relationships/worksheet" Target="worksheets/sheet19.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s>
</file>

<file path=xl/charts/_rels/chart1.xml.rels>&#65279;<?xml version="1.0" encoding="utf-8" standalone="yes"?>
<Relationships xmlns="http://schemas.openxmlformats.org/package/2006/relationships">
  <Relationship Id="rId1" Type="http://schemas.openxmlformats.org/officeDocument/2006/relationships/chartUserShapes" Target="../drawings/drawing4.xml" />
</Relationships>
</file>

<file path=xl/charts/_rels/chart10.xml.rels>&#65279;<?xml version="1.0" encoding="utf-8" standalone="yes"?>
<Relationships xmlns="http://schemas.openxmlformats.org/package/2006/relationships">
  <Relationship Id="rId3" Type="http://schemas.openxmlformats.org/officeDocument/2006/relationships/image" Target="../media/image4.png" />
  <Relationship Id="rId2" Type="http://schemas.openxmlformats.org/officeDocument/2006/relationships/image" Target="../media/image8.png" />
  <Relationship Id="rId1" Type="http://schemas.openxmlformats.org/officeDocument/2006/relationships/image" Target="../media/image7.jpeg" />
</Relationships>
</file>

<file path=xl/charts/_rels/chart11.xml.rels>&#65279;<?xml version="1.0" encoding="utf-8" standalone="yes"?>
<Relationships xmlns="http://schemas.openxmlformats.org/package/2006/relationships">
  <Relationship Id="rId1" Type="http://schemas.openxmlformats.org/officeDocument/2006/relationships/chartUserShapes" Target="../drawings/drawing11.xml" />
</Relationships>
</file>

<file path=xl/charts/_rels/chart12.xml.rels>&#65279;<?xml version="1.0" encoding="utf-8" standalone="yes"?>
<Relationships xmlns="http://schemas.openxmlformats.org/package/2006/relationships">
  <Relationship Id="rId1" Type="http://schemas.openxmlformats.org/officeDocument/2006/relationships/chartUserShapes" Target="../drawings/drawing13.xml" />
</Relationships>
</file>

<file path=xl/charts/_rels/chart13.xml.rels>&#65279;<?xml version="1.0" encoding="utf-8" standalone="yes"?>
<Relationships xmlns="http://schemas.openxmlformats.org/package/2006/relationships">
  <Relationship Id="rId1" Type="http://schemas.openxmlformats.org/officeDocument/2006/relationships/chartUserShapes" Target="../drawings/drawing14.xml" />
</Relationships>
</file>

<file path=xl/charts/_rels/chart14.xml.rels>&#65279;<?xml version="1.0" encoding="utf-8" standalone="yes"?>
<Relationships xmlns="http://schemas.openxmlformats.org/package/2006/relationships">
  <Relationship Id="rId1" Type="http://schemas.openxmlformats.org/officeDocument/2006/relationships/chartUserShapes" Target="../drawings/drawing15.xml" />
</Relationships>
</file>

<file path=xl/charts/_rels/chart15.xml.rels>&#65279;<?xml version="1.0" encoding="utf-8" standalone="yes"?>
<Relationships xmlns="http://schemas.openxmlformats.org/package/2006/relationships">
  <Relationship Id="rId1" Type="http://schemas.openxmlformats.org/officeDocument/2006/relationships/chartUserShapes" Target="../drawings/drawing16.xml" />
</Relationships>
</file>

<file path=xl/charts/_rels/chart16.xml.rels>&#65279;<?xml version="1.0" encoding="utf-8" standalone="yes"?>
<Relationships xmlns="http://schemas.openxmlformats.org/package/2006/relationships">
  <Relationship Id="rId1" Type="http://schemas.openxmlformats.org/officeDocument/2006/relationships/chartUserShapes" Target="../drawings/drawing17.xml" />
</Relationships>
</file>

<file path=xl/charts/_rels/chart17.xml.rels>&#65279;<?xml version="1.0" encoding="utf-8" standalone="yes"?>
<Relationships xmlns="http://schemas.openxmlformats.org/package/2006/relationships">
  <Relationship Id="rId1" Type="http://schemas.openxmlformats.org/officeDocument/2006/relationships/chartUserShapes" Target="../drawings/drawing18.xml" />
</Relationships>
</file>

<file path=xl/charts/_rels/chart18.xml.rels>&#65279;<?xml version="1.0" encoding="utf-8" standalone="yes"?>
<Relationships xmlns="http://schemas.openxmlformats.org/package/2006/relationships">
  <Relationship Id="rId1" Type="http://schemas.openxmlformats.org/officeDocument/2006/relationships/chartUserShapes" Target="../drawings/drawing19.xml" />
</Relationships>
</file>

<file path=xl/charts/_rels/chart19.xml.rels>&#65279;<?xml version="1.0" encoding="utf-8" standalone="yes"?>
<Relationships xmlns="http://schemas.openxmlformats.org/package/2006/relationships">
  <Relationship Id="rId3" Type="http://schemas.openxmlformats.org/officeDocument/2006/relationships/image" Target="../media/image4.png" />
  <Relationship Id="rId2" Type="http://schemas.openxmlformats.org/officeDocument/2006/relationships/image" Target="../media/image3.png" />
  <Relationship Id="rId1" Type="http://schemas.openxmlformats.org/officeDocument/2006/relationships/image" Target="../media/image2.png" />
</Relationships>
</file>

<file path=xl/charts/_rels/chart2.xml.rels>&#65279;<?xml version="1.0" encoding="utf-8" standalone="yes"?>
<Relationships xmlns="http://schemas.openxmlformats.org/package/2006/relationships">
  <Relationship Id="rId1" Type="http://schemas.openxmlformats.org/officeDocument/2006/relationships/chartUserShapes" Target="../drawings/drawing5.xml" />
</Relationships>
</file>

<file path=xl/charts/_rels/chart20.xml.rels>&#65279;<?xml version="1.0" encoding="utf-8" standalone="yes"?>
<Relationships xmlns="http://schemas.openxmlformats.org/package/2006/relationships">
  <Relationship Id="rId3" Type="http://schemas.openxmlformats.org/officeDocument/2006/relationships/image" Target="../media/image4.png" />
  <Relationship Id="rId2" Type="http://schemas.openxmlformats.org/officeDocument/2006/relationships/image" Target="../media/image8.png" />
  <Relationship Id="rId1" Type="http://schemas.openxmlformats.org/officeDocument/2006/relationships/image" Target="../media/image7.jpeg" />
</Relationships>
</file>

<file path=xl/charts/_rels/chart21.xml.rels>&#65279;<?xml version="1.0" encoding="utf-8" standalone="yes"?>
<Relationships xmlns="http://schemas.openxmlformats.org/package/2006/relationships">
  <Relationship Id="rId1" Type="http://schemas.openxmlformats.org/officeDocument/2006/relationships/chartUserShapes" Target="../drawings/drawing20.xml" />
</Relationships>
</file>

<file path=xl/charts/_rels/chart22.xml.rels>&#65279;<?xml version="1.0" encoding="utf-8" standalone="yes"?>
<Relationships xmlns="http://schemas.openxmlformats.org/package/2006/relationships">
  <Relationship Id="rId2" Type="http://schemas.openxmlformats.org/officeDocument/2006/relationships/image" Target="../media/image10.png" />
  <Relationship Id="rId1" Type="http://schemas.openxmlformats.org/officeDocument/2006/relationships/image" Target="../media/image9.png" />
</Relationships>
</file>

<file path=xl/charts/_rels/chart23.xml.rels>&#65279;<?xml version="1.0" encoding="utf-8" standalone="yes"?>
<Relationships xmlns="http://schemas.openxmlformats.org/package/2006/relationships">
  <Relationship Id="rId2" Type="http://schemas.microsoft.com/office/2011/relationships/chartColorStyle" Target="colors1.xml" />
  <Relationship Id="rId1" Type="http://schemas.microsoft.com/office/2011/relationships/chartStyle" Target="style1.xml" />
</Relationships>
</file>

<file path=xl/charts/_rels/chart3.xml.rels>&#65279;<?xml version="1.0" encoding="utf-8" standalone="yes"?>
<Relationships xmlns="http://schemas.openxmlformats.org/package/2006/relationships">
  <Relationship Id="rId1" Type="http://schemas.openxmlformats.org/officeDocument/2006/relationships/chartUserShapes" Target="../drawings/drawing6.xml" />
</Relationships>
</file>

<file path=xl/charts/_rels/chart4.xml.rels>&#65279;<?xml version="1.0" encoding="utf-8" standalone="yes"?>
<Relationships xmlns="http://schemas.openxmlformats.org/package/2006/relationships">
  <Relationship Id="rId1" Type="http://schemas.openxmlformats.org/officeDocument/2006/relationships/chartUserShapes" Target="../drawings/drawing7.xml" />
</Relationships>
</file>

<file path=xl/charts/_rels/chart5.xml.rels>&#65279;<?xml version="1.0" encoding="utf-8" standalone="yes"?>
<Relationships xmlns="http://schemas.openxmlformats.org/package/2006/relationships">
  <Relationship Id="rId1" Type="http://schemas.openxmlformats.org/officeDocument/2006/relationships/chartUserShapes" Target="../drawings/drawing8.xml" />
</Relationships>
</file>

<file path=xl/charts/_rels/chart6.xml.rels>&#65279;<?xml version="1.0" encoding="utf-8" standalone="yes"?>
<Relationships xmlns="http://schemas.openxmlformats.org/package/2006/relationships">
  <Relationship Id="rId1" Type="http://schemas.openxmlformats.org/officeDocument/2006/relationships/chartUserShapes" Target="../drawings/drawing9.xml" />
</Relationships>
</file>

<file path=xl/charts/_rels/chart7.xml.rels>&#65279;<?xml version="1.0" encoding="utf-8" standalone="yes"?>
<Relationships xmlns="http://schemas.openxmlformats.org/package/2006/relationships">
  <Relationship Id="rId1" Type="http://schemas.openxmlformats.org/officeDocument/2006/relationships/chartUserShapes" Target="../drawings/drawing10.xml" />
</Relationships>
</file>

<file path=xl/charts/_rels/chart8.xml.rels>&#65279;<?xml version="1.0" encoding="utf-8" standalone="yes"?>
<Relationships xmlns="http://schemas.openxmlformats.org/package/2006/relationships">
  <Relationship Id="rId3" Type="http://schemas.openxmlformats.org/officeDocument/2006/relationships/image" Target="../media/image4.png" />
  <Relationship Id="rId2" Type="http://schemas.openxmlformats.org/officeDocument/2006/relationships/image" Target="../media/image3.png" />
  <Relationship Id="rId1" Type="http://schemas.openxmlformats.org/officeDocument/2006/relationships/image" Target="../media/image2.png" />
</Relationships>
</file>

<file path=xl/charts/_rels/chart9.xml.rels>&#65279;<?xml version="1.0" encoding="utf-8" standalone="yes"?>
<Relationships xmlns="http://schemas.openxmlformats.org/package/2006/relationships">
  <Relationship Id="rId1" Type="http://schemas.openxmlformats.org/officeDocument/2006/relationships/image" Target="../media/image6.png" />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1815881208094E-2"/>
          <c:y val="8.2126136602873198E-2"/>
          <c:w val="0.89516452151382153"/>
          <c:h val="0.74396617863779269"/>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19A-416E-84E3-66BBB669EC6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19A-416E-84E3-66BBB669EC6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19A-416E-84E3-66BBB669EC62}"/>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19A-416E-84E3-66BBB669EC62}"/>
                </c:ext>
              </c:extLst>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4-419A-416E-84E3-66BBB669EC62}"/>
                </c:ext>
              </c:extLst>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5-419A-416E-84E3-66BBB669EC6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'結果（2-3レーダー）'!$X$59:$X$61</c:f>
              <c:strCache>
                <c:ptCount val="3"/>
                <c:pt idx="0">
                  <c:v>地球環境に配慮する</c:v>
                </c:pt>
                <c:pt idx="1">
                  <c:v>地域環境に配慮する</c:v>
                </c:pt>
                <c:pt idx="2">
                  <c:v>周辺環境に配慮する</c:v>
                </c:pt>
              </c:strCache>
            </c:strRef>
          </c:cat>
          <c:val>
            <c:numRef>
              <c:f>'結果（2-3レーダー）'!$Y$59:$Y$61</c:f>
              <c:numCache>
                <c:formatCode>0.0_ </c:formatCode>
                <c:ptCount val="3"/>
                <c:pt idx="0">
                  <c:v>4</c:v>
                </c:pt>
                <c:pt idx="1">
                  <c:v>4</c:v>
                </c:pt>
                <c:pt idx="2">
                  <c:v>5</c:v>
                </c:pt>
              </c:numCache>
            </c:numRef>
          </c:val>
          <c:extLst>
            <c:ext xmlns:c16="http://schemas.microsoft.com/office/drawing/2014/chart" uri="{C3380CC4-5D6E-409C-BE32-E72D297353CC}">
              <c16:uniqueId val="{00000006-9FAB-4696-8C9F-316B12260E3F}"/>
            </c:ext>
          </c:extLst>
        </c:ser>
        <c:dLbls>
          <c:showLegendKey val="0"/>
          <c:showVal val="0"/>
          <c:showCatName val="0"/>
          <c:showSerName val="0"/>
          <c:showPercent val="0"/>
          <c:showBubbleSize val="0"/>
        </c:dLbls>
        <c:gapWidth val="80"/>
        <c:axId val="211842904"/>
        <c:axId val="211844864"/>
      </c:barChart>
      <c:catAx>
        <c:axId val="211842904"/>
        <c:scaling>
          <c:orientation val="minMax"/>
        </c:scaling>
        <c:delete val="0"/>
        <c:axPos val="b"/>
        <c:numFmt formatCode="General" sourceLinked="1"/>
        <c:majorTickMark val="none"/>
        <c:minorTickMark val="none"/>
        <c:tickLblPos val="none"/>
        <c:spPr>
          <a:ln w="3175">
            <a:solidFill>
              <a:srgbClr val="000000"/>
            </a:solidFill>
            <a:prstDash val="solid"/>
          </a:ln>
        </c:spPr>
        <c:crossAx val="211844864"/>
        <c:crossesAt val="0"/>
        <c:auto val="1"/>
        <c:lblAlgn val="ctr"/>
        <c:lblOffset val="100"/>
        <c:tickMarkSkip val="1"/>
        <c:noMultiLvlLbl val="0"/>
      </c:catAx>
      <c:valAx>
        <c:axId val="2118448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8429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74E-2"/>
          <c:w val="0.96283783783783783"/>
          <c:h val="0.8409137568456857"/>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3D3B-4CDB-986D-5A8FB4F3BCB0}"/>
              </c:ext>
            </c:extLst>
          </c:dPt>
          <c:cat>
            <c:strRef>
              <c:f>'結果（2-3レーダー）'!$R$36</c:f>
              <c:strCache>
                <c:ptCount val="1"/>
                <c:pt idx="0">
                  <c:v>Rank(green star)</c:v>
                </c:pt>
              </c:strCache>
            </c:strRef>
          </c:cat>
          <c:val>
            <c:numRef>
              <c:f>'結果（2-3レーダー）'!$S$36</c:f>
              <c:numCache>
                <c:formatCode>#,##0.0;[Red]\-#,##0.0</c:formatCode>
                <c:ptCount val="1"/>
                <c:pt idx="0">
                  <c:v>0.6</c:v>
                </c:pt>
              </c:numCache>
            </c:numRef>
          </c:val>
          <c:extLst>
            <c:ext xmlns:c16="http://schemas.microsoft.com/office/drawing/2014/chart" uri="{C3380CC4-5D6E-409C-BE32-E72D297353CC}">
              <c16:uniqueId val="{00000002-3D3B-4CDB-986D-5A8FB4F3BCB0}"/>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'結果（2-3レーダー）'!$R$36</c:f>
              <c:strCache>
                <c:ptCount val="1"/>
                <c:pt idx="0">
                  <c:v>Rank(green star)</c:v>
                </c:pt>
              </c:strCache>
            </c:strRef>
          </c:cat>
          <c:val>
            <c:numRef>
              <c:f>'結果（2-3レーダー）'!$S$37</c:f>
              <c:numCache>
                <c:formatCode>#,##0.0;[Red]\-#,##0.0</c:formatCode>
                <c:ptCount val="1"/>
                <c:pt idx="0">
                  <c:v>0.4</c:v>
                </c:pt>
              </c:numCache>
            </c:numRef>
          </c:val>
          <c:extLst>
            <c:ext xmlns:c16="http://schemas.microsoft.com/office/drawing/2014/chart" uri="{C3380CC4-5D6E-409C-BE32-E72D297353CC}">
              <c16:uniqueId val="{00000003-3D3B-4CDB-986D-5A8FB4F3BCB0}"/>
            </c:ext>
          </c:extLst>
        </c:ser>
        <c:dLbls>
          <c:showLegendKey val="0"/>
          <c:showVal val="0"/>
          <c:showCatName val="0"/>
          <c:showSerName val="0"/>
          <c:showPercent val="0"/>
          <c:showBubbleSize val="0"/>
        </c:dLbls>
        <c:gapWidth val="50"/>
        <c:overlap val="100"/>
        <c:axId val="299138032"/>
        <c:axId val="299132936"/>
      </c:barChart>
      <c:catAx>
        <c:axId val="299138032"/>
        <c:scaling>
          <c:orientation val="minMax"/>
        </c:scaling>
        <c:delete val="1"/>
        <c:axPos val="l"/>
        <c:numFmt formatCode="General" sourceLinked="1"/>
        <c:majorTickMark val="out"/>
        <c:minorTickMark val="none"/>
        <c:tickLblPos val="none"/>
        <c:crossAx val="299132936"/>
        <c:crosses val="autoZero"/>
        <c:auto val="1"/>
        <c:lblAlgn val="ctr"/>
        <c:lblOffset val="100"/>
        <c:noMultiLvlLbl val="0"/>
      </c:catAx>
      <c:valAx>
        <c:axId val="299132936"/>
        <c:scaling>
          <c:orientation val="minMax"/>
        </c:scaling>
        <c:delete val="1"/>
        <c:axPos val="b"/>
        <c:numFmt formatCode="0%" sourceLinked="1"/>
        <c:majorTickMark val="out"/>
        <c:minorTickMark val="none"/>
        <c:tickLblPos val="none"/>
        <c:crossAx val="29913803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30189320280639E-2"/>
          <c:y val="0.15111127507733849"/>
          <c:w val="0.86713434757148"/>
          <c:h val="0.64888959297915938"/>
        </c:manualLayout>
      </c:layout>
      <c:barChart>
        <c:barDir val="bar"/>
        <c:grouping val="stacked"/>
        <c:varyColors val="0"/>
        <c:ser>
          <c:idx val="0"/>
          <c:order val="0"/>
          <c:tx>
            <c:strRef>
              <c:f>'結果（2-3レーダー）'!$S$39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B631-4F2D-8208-2F06B6E823E2}"/>
              </c:ext>
            </c:extLst>
          </c:dPt>
          <c:val>
            <c:numRef>
              <c:f>'結果（2-3レーダー）'!$S$40:$S$43</c:f>
              <c:numCache>
                <c:formatCode>#,##0_);[Red]\(#,##0\)</c:formatCode>
                <c:ptCount val="4"/>
                <c:pt idx="0">
                  <c:v>9.52</c:v>
                </c:pt>
                <c:pt idx="1">
                  <c:v>2.7896000000000001</c:v>
                </c:pt>
              </c:numCache>
            </c:numRef>
          </c:val>
          <c:extLst>
            <c:ext xmlns:c16="http://schemas.microsoft.com/office/drawing/2014/chart" uri="{C3380CC4-5D6E-409C-BE32-E72D297353CC}">
              <c16:uniqueId val="{00000002-B631-4F2D-8208-2F06B6E823E2}"/>
            </c:ext>
          </c:extLst>
        </c:ser>
        <c:ser>
          <c:idx val="1"/>
          <c:order val="1"/>
          <c:tx>
            <c:strRef>
              <c:f>'結果（2-3レーダー）'!$T$39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B631-4F2D-8208-2F06B6E823E2}"/>
              </c:ext>
            </c:extLst>
          </c:dPt>
          <c:val>
            <c:numRef>
              <c:f>'結果（2-3レーダー）'!$T$40:$T$43</c:f>
              <c:numCache>
                <c:formatCode>#,##0_);[Red]\(#,##0\)</c:formatCode>
                <c:ptCount val="4"/>
                <c:pt idx="0">
                  <c:v>2.83</c:v>
                </c:pt>
                <c:pt idx="1">
                  <c:v>4.75</c:v>
                </c:pt>
              </c:numCache>
            </c:numRef>
          </c:val>
          <c:extLst>
            <c:ext xmlns:c16="http://schemas.microsoft.com/office/drawing/2014/chart" uri="{C3380CC4-5D6E-409C-BE32-E72D297353CC}">
              <c16:uniqueId val="{00000005-B631-4F2D-8208-2F06B6E823E2}"/>
            </c:ext>
          </c:extLst>
        </c:ser>
        <c:ser>
          <c:idx val="2"/>
          <c:order val="2"/>
          <c:tx>
            <c:strRef>
              <c:f>'結果（2-3レーダー）'!$U$39</c:f>
              <c:strCache>
                <c:ptCount val="1"/>
                <c:pt idx="0">
                  <c:v>居住</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B631-4F2D-8208-2F06B6E823E2}"/>
              </c:ext>
            </c:extLst>
          </c:dPt>
          <c:val>
            <c:numRef>
              <c:f>'結果（2-3レーダー）'!$U$40:$U$43</c:f>
              <c:numCache>
                <c:formatCode>#,##0_);[Red]\(#,##0\)</c:formatCode>
                <c:ptCount val="4"/>
                <c:pt idx="0">
                  <c:v>38.802961218453483</c:v>
                </c:pt>
                <c:pt idx="1">
                  <c:v>29.86964678777413</c:v>
                </c:pt>
              </c:numCache>
            </c:numRef>
          </c:val>
          <c:extLst>
            <c:ext xmlns:c16="http://schemas.microsoft.com/office/drawing/2014/chart" uri="{C3380CC4-5D6E-409C-BE32-E72D297353CC}">
              <c16:uniqueId val="{00000008-B631-4F2D-8208-2F06B6E823E2}"/>
            </c:ext>
          </c:extLst>
        </c:ser>
        <c:ser>
          <c:idx val="3"/>
          <c:order val="3"/>
          <c:tx>
            <c:strRef>
              <c:f>'結果（2-3レーダー）'!$V$39</c:f>
              <c:strCache>
                <c:ptCount val="1"/>
                <c:pt idx="0">
                  <c:v>オンサイト</c:v>
                </c:pt>
              </c:strCache>
            </c:strRef>
          </c:tx>
          <c:spPr>
            <a:solidFill>
              <a:srgbClr val="969696"/>
            </a:solidFill>
            <a:ln w="12700">
              <a:solidFill>
                <a:srgbClr val="000000"/>
              </a:solidFill>
              <a:prstDash val="solid"/>
            </a:ln>
          </c:spPr>
          <c:invertIfNegative val="0"/>
          <c:val>
            <c:numRef>
              <c:f>'結果（2-3レーダー）'!$V$40:$V$43</c:f>
              <c:numCache>
                <c:formatCode>General</c:formatCode>
                <c:ptCount val="4"/>
                <c:pt idx="2" formatCode="#,##0.00_ ;[Red]\-#,##0.00\ ">
                  <c:v>37.40924678777413</c:v>
                </c:pt>
              </c:numCache>
            </c:numRef>
          </c:val>
          <c:extLst>
            <c:ext xmlns:c16="http://schemas.microsoft.com/office/drawing/2014/chart" uri="{C3380CC4-5D6E-409C-BE32-E72D297353CC}">
              <c16:uniqueId val="{00000009-B631-4F2D-8208-2F06B6E823E2}"/>
            </c:ext>
          </c:extLst>
        </c:ser>
        <c:ser>
          <c:idx val="4"/>
          <c:order val="4"/>
          <c:tx>
            <c:strRef>
              <c:f>'結果（2-3レーダー）'!$W$39</c:f>
              <c:strCache>
                <c:ptCount val="1"/>
                <c:pt idx="0">
                  <c:v>オフサイト</c:v>
                </c:pt>
              </c:strCache>
            </c:strRef>
          </c:tx>
          <c:spPr>
            <a:pattFill prst="pct60">
              <a:fgClr>
                <a:srgbClr val="969696"/>
              </a:fgClr>
              <a:bgClr>
                <a:srgbClr val="FFFFFF"/>
              </a:bgClr>
            </a:pattFill>
            <a:ln w="12700">
              <a:solidFill>
                <a:srgbClr val="000000"/>
              </a:solidFill>
              <a:prstDash val="solid"/>
            </a:ln>
          </c:spPr>
          <c:invertIfNegative val="0"/>
          <c:val>
            <c:numRef>
              <c:f>'結果（2-3レーダー）'!$W$40:$W$43</c:f>
              <c:numCache>
                <c:formatCode>General</c:formatCode>
                <c:ptCount val="4"/>
                <c:pt idx="3" formatCode="#,##0_);[Red]\(#,##0\)">
                  <c:v>37.40924678777413</c:v>
                </c:pt>
              </c:numCache>
            </c:numRef>
          </c:val>
          <c:extLst>
            <c:ext xmlns:c16="http://schemas.microsoft.com/office/drawing/2014/chart" uri="{C3380CC4-5D6E-409C-BE32-E72D297353CC}">
              <c16:uniqueId val="{0000000A-B631-4F2D-8208-2F06B6E823E2}"/>
            </c:ext>
          </c:extLst>
        </c:ser>
        <c:dLbls>
          <c:showLegendKey val="0"/>
          <c:showVal val="0"/>
          <c:showCatName val="0"/>
          <c:showSerName val="0"/>
          <c:showPercent val="0"/>
          <c:showBubbleSize val="0"/>
        </c:dLbls>
        <c:gapWidth val="50"/>
        <c:overlap val="100"/>
        <c:axId val="299133328"/>
        <c:axId val="299133720"/>
      </c:barChart>
      <c:catAx>
        <c:axId val="299133328"/>
        <c:scaling>
          <c:orientation val="maxMin"/>
        </c:scaling>
        <c:delete val="1"/>
        <c:axPos val="l"/>
        <c:majorTickMark val="out"/>
        <c:minorTickMark val="none"/>
        <c:tickLblPos val="none"/>
        <c:crossAx val="299133720"/>
        <c:crosses val="autoZero"/>
        <c:auto val="1"/>
        <c:lblAlgn val="ctr"/>
        <c:lblOffset val="100"/>
        <c:noMultiLvlLbl val="0"/>
      </c:catAx>
      <c:valAx>
        <c:axId val="299133720"/>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9133328"/>
        <c:crosses val="max"/>
        <c:crossBetween val="between"/>
        <c:majorUnit val="20"/>
      </c:valAx>
      <c:spPr>
        <a:noFill/>
        <a:ln w="3175">
          <a:solidFill>
            <a:srgbClr val="000000"/>
          </a:solidFill>
          <a:prstDash val="solid"/>
        </a:ln>
      </c:spPr>
    </c:plotArea>
    <c:legend>
      <c:legendPos val="r"/>
      <c:layout>
        <c:manualLayout>
          <c:xMode val="edge"/>
          <c:yMode val="edge"/>
          <c:x val="7.8538417991868711E-2"/>
          <c:y val="4.4477107028288131E-2"/>
          <c:w val="0.8757054191755449"/>
          <c:h val="0.11119218431029458"/>
        </c:manualLayout>
      </c:layout>
      <c:overlay val="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1815881208094E-2"/>
          <c:y val="8.2126136602873198E-2"/>
          <c:w val="0.89516452151382153"/>
          <c:h val="0.74396617863779269"/>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EB3-4F0F-835F-46D103EC5A6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EB3-4F0F-835F-46D103EC5A6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EB3-4F0F-835F-46D103EC5A6E}"/>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9EB3-4F0F-835F-46D103EC5A6E}"/>
                </c:ext>
              </c:extLst>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4-9EB3-4F0F-835F-46D103EC5A6E}"/>
                </c:ext>
              </c:extLst>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5-9EB3-4F0F-835F-46D103EC5A6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(2-3SDGs)'!$X$59:$X$61</c:f>
              <c:strCache>
                <c:ptCount val="3"/>
                <c:pt idx="0">
                  <c:v>地球環境に配慮する</c:v>
                </c:pt>
                <c:pt idx="1">
                  <c:v>地域環境に配慮する</c:v>
                </c:pt>
                <c:pt idx="2">
                  <c:v>周辺環境に配慮する</c:v>
                </c:pt>
              </c:strCache>
            </c:strRef>
          </c:cat>
          <c:val>
            <c:numRef>
              <c:f>'結果 (2-3SDGs)'!$Y$59:$Y$61</c:f>
              <c:numCache>
                <c:formatCode>0.0_ </c:formatCode>
                <c:ptCount val="3"/>
                <c:pt idx="0">
                  <c:v>4</c:v>
                </c:pt>
                <c:pt idx="1">
                  <c:v>4</c:v>
                </c:pt>
                <c:pt idx="2">
                  <c:v>5</c:v>
                </c:pt>
              </c:numCache>
            </c:numRef>
          </c:val>
          <c:extLst>
            <c:ext xmlns:c16="http://schemas.microsoft.com/office/drawing/2014/chart" uri="{C3380CC4-5D6E-409C-BE32-E72D297353CC}">
              <c16:uniqueId val="{00000006-9EB3-4F0F-835F-46D103EC5A6E}"/>
            </c:ext>
          </c:extLst>
        </c:ser>
        <c:dLbls>
          <c:showLegendKey val="0"/>
          <c:showVal val="0"/>
          <c:showCatName val="0"/>
          <c:showSerName val="0"/>
          <c:showPercent val="0"/>
          <c:showBubbleSize val="0"/>
        </c:dLbls>
        <c:gapWidth val="80"/>
        <c:axId val="211842904"/>
        <c:axId val="211844864"/>
      </c:barChart>
      <c:catAx>
        <c:axId val="211842904"/>
        <c:scaling>
          <c:orientation val="minMax"/>
        </c:scaling>
        <c:delete val="0"/>
        <c:axPos val="b"/>
        <c:numFmt formatCode="General" sourceLinked="1"/>
        <c:majorTickMark val="none"/>
        <c:minorTickMark val="none"/>
        <c:tickLblPos val="none"/>
        <c:spPr>
          <a:ln w="3175">
            <a:solidFill>
              <a:srgbClr val="000000"/>
            </a:solidFill>
            <a:prstDash val="solid"/>
          </a:ln>
        </c:spPr>
        <c:crossAx val="211844864"/>
        <c:crossesAt val="0"/>
        <c:auto val="1"/>
        <c:lblAlgn val="ctr"/>
        <c:lblOffset val="100"/>
        <c:tickMarkSkip val="1"/>
        <c:noMultiLvlLbl val="0"/>
      </c:catAx>
      <c:valAx>
        <c:axId val="2118448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8429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568906826002568E-2"/>
          <c:w val="0.9098403139422957"/>
          <c:h val="0.73459885635472966"/>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9D3-4C71-82CF-6ADE940B02C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9D3-4C71-82CF-6ADE940B02C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9D3-4C71-82CF-6ADE940B02C3}"/>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9D3-4C71-82CF-6ADE940B02C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(2-3SDGs)'!$U$59:$U$61</c:f>
              <c:strCache>
                <c:ptCount val="3"/>
                <c:pt idx="0">
                  <c:v>省資源、廃棄物抑制に役立つ材料の採用</c:v>
                </c:pt>
                <c:pt idx="1">
                  <c:v>低環境負荷材料</c:v>
                </c:pt>
                <c:pt idx="2">
                  <c:v>リサイクルの促進</c:v>
                </c:pt>
              </c:strCache>
            </c:strRef>
          </c:cat>
          <c:val>
            <c:numRef>
              <c:f>'結果 (2-3SDGs)'!$V$59:$V$61</c:f>
              <c:numCache>
                <c:formatCode>0.0_ </c:formatCode>
                <c:ptCount val="3"/>
                <c:pt idx="0">
                  <c:v>3.8</c:v>
                </c:pt>
                <c:pt idx="1">
                  <c:v>2.2999999999999998</c:v>
                </c:pt>
                <c:pt idx="2">
                  <c:v>5</c:v>
                </c:pt>
              </c:numCache>
            </c:numRef>
          </c:val>
          <c:extLst>
            <c:ext xmlns:c16="http://schemas.microsoft.com/office/drawing/2014/chart" uri="{C3380CC4-5D6E-409C-BE32-E72D297353CC}">
              <c16:uniqueId val="{00000004-89D3-4C71-82CF-6ADE940B02C3}"/>
            </c:ext>
          </c:extLst>
        </c:ser>
        <c:dLbls>
          <c:showLegendKey val="0"/>
          <c:showVal val="0"/>
          <c:showCatName val="0"/>
          <c:showSerName val="0"/>
          <c:showPercent val="0"/>
          <c:showBubbleSize val="0"/>
        </c:dLbls>
        <c:gapWidth val="80"/>
        <c:axId val="211845256"/>
        <c:axId val="211846040"/>
      </c:barChart>
      <c:catAx>
        <c:axId val="211845256"/>
        <c:scaling>
          <c:orientation val="minMax"/>
        </c:scaling>
        <c:delete val="0"/>
        <c:axPos val="b"/>
        <c:numFmt formatCode="General" sourceLinked="1"/>
        <c:majorTickMark val="none"/>
        <c:minorTickMark val="none"/>
        <c:tickLblPos val="none"/>
        <c:spPr>
          <a:ln w="3175">
            <a:solidFill>
              <a:srgbClr val="000000"/>
            </a:solidFill>
            <a:prstDash val="solid"/>
          </a:ln>
        </c:spPr>
        <c:crossAx val="211846040"/>
        <c:crossesAt val="0"/>
        <c:auto val="1"/>
        <c:lblAlgn val="ctr"/>
        <c:lblOffset val="100"/>
        <c:tickMarkSkip val="1"/>
        <c:noMultiLvlLbl val="0"/>
      </c:catAx>
      <c:valAx>
        <c:axId val="211846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845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0884319827424E-2"/>
          <c:y val="8.5308254286355578E-2"/>
          <c:w val="0.90786058025507776"/>
          <c:h val="0.72985950889437634"/>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558-4A93-AAFC-B58734FEBFC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558-4A93-AAFC-B58734FEBFC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558-4A93-AAFC-B58734FEBFC7}"/>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558-4A93-AAFC-B58734FEBFC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(2-3SDGs)'!$R$59:$R$61</c:f>
              <c:strCache>
                <c:ptCount val="3"/>
                <c:pt idx="0">
                  <c:v>総合的な省エネ</c:v>
                </c:pt>
                <c:pt idx="1">
                  <c:v>水の節約</c:v>
                </c:pt>
                <c:pt idx="2">
                  <c:v>維持管理と運用の工夫</c:v>
                </c:pt>
              </c:strCache>
            </c:strRef>
          </c:cat>
          <c:val>
            <c:numRef>
              <c:f>'結果 (2-3SDGs)'!$S$59:$S$61</c:f>
              <c:numCache>
                <c:formatCode>#,##0.0;[Red]\-#,##0.0</c:formatCode>
                <c:ptCount val="3"/>
                <c:pt idx="0">
                  <c:v>4</c:v>
                </c:pt>
                <c:pt idx="1">
                  <c:v>3.7</c:v>
                </c:pt>
                <c:pt idx="2">
                  <c:v>4</c:v>
                </c:pt>
              </c:numCache>
            </c:numRef>
          </c:val>
          <c:extLst>
            <c:ext xmlns:c16="http://schemas.microsoft.com/office/drawing/2014/chart" uri="{C3380CC4-5D6E-409C-BE32-E72D297353CC}">
              <c16:uniqueId val="{00000004-F558-4A93-AAFC-B58734FEBFC7}"/>
            </c:ext>
          </c:extLst>
        </c:ser>
        <c:dLbls>
          <c:showLegendKey val="0"/>
          <c:showVal val="0"/>
          <c:showCatName val="0"/>
          <c:showSerName val="0"/>
          <c:showPercent val="0"/>
          <c:showBubbleSize val="0"/>
        </c:dLbls>
        <c:gapWidth val="80"/>
        <c:axId val="298824256"/>
        <c:axId val="298829352"/>
      </c:barChart>
      <c:catAx>
        <c:axId val="298824256"/>
        <c:scaling>
          <c:orientation val="minMax"/>
        </c:scaling>
        <c:delete val="0"/>
        <c:axPos val="b"/>
        <c:numFmt formatCode="General" sourceLinked="1"/>
        <c:majorTickMark val="none"/>
        <c:minorTickMark val="none"/>
        <c:tickLblPos val="none"/>
        <c:spPr>
          <a:ln w="3175">
            <a:solidFill>
              <a:srgbClr val="000000"/>
            </a:solidFill>
            <a:prstDash val="solid"/>
          </a:ln>
        </c:spPr>
        <c:crossAx val="298829352"/>
        <c:crossesAt val="0"/>
        <c:auto val="1"/>
        <c:lblAlgn val="ctr"/>
        <c:lblOffset val="100"/>
        <c:tickMarkSkip val="1"/>
        <c:noMultiLvlLbl val="0"/>
      </c:catAx>
      <c:valAx>
        <c:axId val="298829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4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8636112007146E-2"/>
          <c:y val="8.415846669925918E-2"/>
          <c:w val="0.88709997627495862"/>
          <c:h val="0.7722776944167305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27E-43EB-B108-C1DCC82903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27E-43EB-B108-C1DCC82903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27E-43EB-B108-C1DCC829033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C27E-43EB-B108-C1DCC82903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(2-3SDGs)'!$R$49:$R$52</c:f>
              <c:strCache>
                <c:ptCount val="4"/>
                <c:pt idx="0">
                  <c:v>暑さ・寒さ</c:v>
                </c:pt>
                <c:pt idx="1">
                  <c:v>健康と安全・安心</c:v>
                </c:pt>
                <c:pt idx="2">
                  <c:v>明るさ</c:v>
                </c:pt>
                <c:pt idx="3">
                  <c:v>静かさ</c:v>
                </c:pt>
              </c:strCache>
            </c:strRef>
          </c:cat>
          <c:val>
            <c:numRef>
              <c:f>'結果 (2-3SDGs)'!$S$49:$S$52</c:f>
              <c:numCache>
                <c:formatCode>0.0;_Ā</c:formatCode>
                <c:ptCount val="4"/>
                <c:pt idx="0">
                  <c:v>4.5999999999999996</c:v>
                </c:pt>
                <c:pt idx="1">
                  <c:v>4.2</c:v>
                </c:pt>
                <c:pt idx="2">
                  <c:v>5</c:v>
                </c:pt>
                <c:pt idx="3">
                  <c:v>5</c:v>
                </c:pt>
              </c:numCache>
            </c:numRef>
          </c:val>
          <c:extLst>
            <c:ext xmlns:c16="http://schemas.microsoft.com/office/drawing/2014/chart" uri="{C3380CC4-5D6E-409C-BE32-E72D297353CC}">
              <c16:uniqueId val="{00000004-C27E-43EB-B108-C1DCC829033C}"/>
            </c:ext>
          </c:extLst>
        </c:ser>
        <c:dLbls>
          <c:showLegendKey val="0"/>
          <c:showVal val="0"/>
          <c:showCatName val="0"/>
          <c:showSerName val="0"/>
          <c:showPercent val="0"/>
          <c:showBubbleSize val="0"/>
        </c:dLbls>
        <c:gapWidth val="40"/>
        <c:axId val="298827000"/>
        <c:axId val="298824648"/>
      </c:barChart>
      <c:catAx>
        <c:axId val="298827000"/>
        <c:scaling>
          <c:orientation val="minMax"/>
        </c:scaling>
        <c:delete val="0"/>
        <c:axPos val="b"/>
        <c:numFmt formatCode="General" sourceLinked="1"/>
        <c:majorTickMark val="none"/>
        <c:minorTickMark val="none"/>
        <c:tickLblPos val="none"/>
        <c:spPr>
          <a:ln w="3175">
            <a:solidFill>
              <a:srgbClr val="000000"/>
            </a:solidFill>
            <a:prstDash val="solid"/>
          </a:ln>
        </c:spPr>
        <c:crossAx val="298824648"/>
        <c:crossesAt val="0"/>
        <c:auto val="1"/>
        <c:lblAlgn val="ctr"/>
        <c:lblOffset val="100"/>
        <c:tickMarkSkip val="1"/>
        <c:noMultiLvlLbl val="0"/>
      </c:catAx>
      <c:valAx>
        <c:axId val="2988246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7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71921606278969E-2"/>
          <c:y val="7.8704326409555908E-2"/>
          <c:w val="0.90027220773204142"/>
          <c:h val="0.7314872689829311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12A-4EA8-9655-3552CE80E53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12A-4EA8-9655-3552CE80E53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12A-4EA8-9655-3552CE80E53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(2-3SDGs)'!$X$49:$X$52</c:f>
              <c:strCache>
                <c:ptCount val="4"/>
                <c:pt idx="0">
                  <c:v>まちなみ・景観への配慮</c:v>
                </c:pt>
                <c:pt idx="1">
                  <c:v>生物資源の保全と創出</c:v>
                </c:pt>
                <c:pt idx="2">
                  <c:v>地域の安全・安心</c:v>
                </c:pt>
                <c:pt idx="3">
                  <c:v>地域の資源の活用と住文化の継承</c:v>
                </c:pt>
              </c:strCache>
            </c:strRef>
          </c:cat>
          <c:val>
            <c:numRef>
              <c:f>'結果 (2-3SDGs)'!$Y$49:$Y$52</c:f>
              <c:numCache>
                <c:formatCode>0.0_ </c:formatCode>
                <c:ptCount val="4"/>
                <c:pt idx="0">
                  <c:v>5</c:v>
                </c:pt>
                <c:pt idx="1">
                  <c:v>2.2999999999999998</c:v>
                </c:pt>
                <c:pt idx="2">
                  <c:v>5</c:v>
                </c:pt>
                <c:pt idx="3">
                  <c:v>3</c:v>
                </c:pt>
              </c:numCache>
            </c:numRef>
          </c:val>
          <c:extLst>
            <c:ext xmlns:c16="http://schemas.microsoft.com/office/drawing/2014/chart" uri="{C3380CC4-5D6E-409C-BE32-E72D297353CC}">
              <c16:uniqueId val="{00000003-012A-4EA8-9655-3552CE80E531}"/>
            </c:ext>
          </c:extLst>
        </c:ser>
        <c:dLbls>
          <c:showLegendKey val="0"/>
          <c:showVal val="0"/>
          <c:showCatName val="0"/>
          <c:showSerName val="0"/>
          <c:showPercent val="0"/>
          <c:showBubbleSize val="0"/>
        </c:dLbls>
        <c:gapWidth val="40"/>
        <c:axId val="298828568"/>
        <c:axId val="298829744"/>
      </c:barChart>
      <c:catAx>
        <c:axId val="298828568"/>
        <c:scaling>
          <c:orientation val="minMax"/>
        </c:scaling>
        <c:delete val="0"/>
        <c:axPos val="b"/>
        <c:numFmt formatCode="General" sourceLinked="1"/>
        <c:majorTickMark val="none"/>
        <c:minorTickMark val="none"/>
        <c:tickLblPos val="none"/>
        <c:spPr>
          <a:ln w="3175">
            <a:solidFill>
              <a:srgbClr val="000000"/>
            </a:solidFill>
            <a:prstDash val="solid"/>
          </a:ln>
        </c:spPr>
        <c:crossAx val="298829744"/>
        <c:crossesAt val="0"/>
        <c:auto val="1"/>
        <c:lblAlgn val="ctr"/>
        <c:lblOffset val="100"/>
        <c:tickMarkSkip val="1"/>
        <c:noMultiLvlLbl val="0"/>
      </c:catAx>
      <c:valAx>
        <c:axId val="2988297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85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188956283706189E-2"/>
          <c:w val="0.9098403139422957"/>
          <c:h val="0.735851598838716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D8A-49CD-A227-2344FACD570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D8A-49CD-A227-2344FACD570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D8A-49CD-A227-2344FACD570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(2-3SDGs)'!$U$49:$U$51</c:f>
              <c:strCache>
                <c:ptCount val="3"/>
                <c:pt idx="0">
                  <c:v>長寿命に対する基本性能</c:v>
                </c:pt>
                <c:pt idx="1">
                  <c:v>維持管理</c:v>
                </c:pt>
                <c:pt idx="2">
                  <c:v>機能性</c:v>
                </c:pt>
              </c:strCache>
            </c:strRef>
          </c:cat>
          <c:val>
            <c:numRef>
              <c:f>'結果 (2-3SDGs)'!$V$49:$V$51</c:f>
              <c:numCache>
                <c:formatCode>0.0_ </c:formatCode>
                <c:ptCount val="3"/>
                <c:pt idx="0">
                  <c:v>3.7</c:v>
                </c:pt>
                <c:pt idx="1">
                  <c:v>3.7</c:v>
                </c:pt>
                <c:pt idx="2">
                  <c:v>4.5999999999999996</c:v>
                </c:pt>
              </c:numCache>
            </c:numRef>
          </c:val>
          <c:extLst>
            <c:ext xmlns:c16="http://schemas.microsoft.com/office/drawing/2014/chart" uri="{C3380CC4-5D6E-409C-BE32-E72D297353CC}">
              <c16:uniqueId val="{00000003-9D8A-49CD-A227-2344FACD5703}"/>
            </c:ext>
          </c:extLst>
        </c:ser>
        <c:dLbls>
          <c:showLegendKey val="0"/>
          <c:showVal val="0"/>
          <c:showCatName val="0"/>
          <c:showSerName val="0"/>
          <c:showPercent val="0"/>
          <c:showBubbleSize val="0"/>
        </c:dLbls>
        <c:gapWidth val="80"/>
        <c:axId val="298827784"/>
        <c:axId val="298828960"/>
      </c:barChart>
      <c:catAx>
        <c:axId val="298827784"/>
        <c:scaling>
          <c:orientation val="minMax"/>
        </c:scaling>
        <c:delete val="0"/>
        <c:axPos val="b"/>
        <c:numFmt formatCode="General" sourceLinked="1"/>
        <c:majorTickMark val="none"/>
        <c:minorTickMark val="none"/>
        <c:tickLblPos val="none"/>
        <c:spPr>
          <a:ln w="3175">
            <a:solidFill>
              <a:srgbClr val="000000"/>
            </a:solidFill>
            <a:prstDash val="solid"/>
          </a:ln>
        </c:spPr>
        <c:crossAx val="298828960"/>
        <c:crossesAt val="0"/>
        <c:auto val="1"/>
        <c:lblAlgn val="ctr"/>
        <c:lblOffset val="100"/>
        <c:tickMarkSkip val="1"/>
        <c:noMultiLvlLbl val="0"/>
      </c:catAx>
      <c:valAx>
        <c:axId val="298828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77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3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12195121951209"/>
          <c:y val="9.7276264591439704E-2"/>
          <c:w val="0.70383275261324063"/>
          <c:h val="0.7042801556420234"/>
        </c:manualLayout>
      </c:layout>
      <c:areaChart>
        <c:grouping val="standard"/>
        <c:varyColors val="0"/>
        <c:ser>
          <c:idx val="4"/>
          <c:order val="2"/>
          <c:tx>
            <c:strRef>
              <c:f>'結果 (2-3SDGs)'!$S$29</c:f>
              <c:strCache>
                <c:ptCount val="1"/>
                <c:pt idx="0">
                  <c:v>S</c:v>
                </c:pt>
              </c:strCache>
            </c:strRef>
          </c:tx>
          <c:spPr>
            <a:pattFill prst="pct70">
              <a:fgClr>
                <a:srgbClr val="339966"/>
              </a:fgClr>
              <a:bgClr>
                <a:srgbClr val="FFFFFF"/>
              </a:bgClr>
            </a:pattFill>
            <a:ln w="12700">
              <a:solidFill>
                <a:srgbClr val="000000"/>
              </a:solidFill>
              <a:prstDash val="solid"/>
            </a:ln>
          </c:spPr>
          <c:cat>
            <c:numRef>
              <c:f>'結果 (2-3SDGs)'!$T$23:$U$23</c:f>
              <c:numCache>
                <c:formatCode>General</c:formatCode>
                <c:ptCount val="2"/>
                <c:pt idx="0" formatCode="#,##0_);[Red]\(#,##0\)">
                  <c:v>27.378125000000008</c:v>
                </c:pt>
                <c:pt idx="1">
                  <c:v>0</c:v>
                </c:pt>
              </c:numCache>
            </c:numRef>
          </c:cat>
          <c:val>
            <c:numRef>
              <c:f>'結果 (2-3SDGs)'!$T$29:$Z$29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372-4D49-97B5-8248CDA648BE}"/>
            </c:ext>
          </c:extLst>
        </c:ser>
        <c:ser>
          <c:idx val="3"/>
          <c:order val="3"/>
          <c:tx>
            <c:strRef>
              <c:f>'結果 (2-3SDGs)'!$S$30</c:f>
              <c:strCache>
                <c:ptCount val="1"/>
                <c:pt idx="0">
                  <c:v>A</c:v>
                </c:pt>
              </c:strCache>
            </c:strRef>
          </c:tx>
          <c:spPr>
            <a:pattFill prst="pct90">
              <a:fgClr>
                <a:srgbClr val="CCFFCC"/>
              </a:fgClr>
              <a:bgClr>
                <a:srgbClr val="FFFFFF"/>
              </a:bgClr>
            </a:pattFill>
            <a:ln w="12700">
              <a:solidFill>
                <a:srgbClr val="000000"/>
              </a:solidFill>
              <a:prstDash val="solid"/>
            </a:ln>
          </c:spPr>
          <c:cat>
            <c:numRef>
              <c:f>'結果 (2-3SDGs)'!$T$23:$U$23</c:f>
              <c:numCache>
                <c:formatCode>General</c:formatCode>
                <c:ptCount val="2"/>
                <c:pt idx="0" formatCode="#,##0_);[Red]\(#,##0\)">
                  <c:v>27.378125000000008</c:v>
                </c:pt>
                <c:pt idx="1">
                  <c:v>0</c:v>
                </c:pt>
              </c:numCache>
            </c:numRef>
          </c:cat>
          <c:val>
            <c:numRef>
              <c:f>'結果 (2-3SDGs)'!$T$30:$Z$30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372-4D49-97B5-8248CDA648BE}"/>
            </c:ext>
          </c:extLst>
        </c:ser>
        <c:ser>
          <c:idx val="2"/>
          <c:order val="4"/>
          <c:tx>
            <c:strRef>
              <c:f>'結果 (2-3SDGs)'!$S$31</c:f>
              <c:strCache>
                <c:ptCount val="1"/>
                <c:pt idx="0">
                  <c:v>B+</c:v>
                </c:pt>
              </c:strCache>
            </c:strRef>
          </c:tx>
          <c:spPr>
            <a:solidFill>
              <a:srgbClr val="FFFFCC"/>
            </a:solidFill>
            <a:ln w="12700">
              <a:solidFill>
                <a:srgbClr val="000000"/>
              </a:solidFill>
              <a:prstDash val="solid"/>
            </a:ln>
          </c:spPr>
          <c:cat>
            <c:numRef>
              <c:f>'結果 (2-3SDGs)'!$T$23:$U$23</c:f>
              <c:numCache>
                <c:formatCode>General</c:formatCode>
                <c:ptCount val="2"/>
                <c:pt idx="0" formatCode="#,##0_);[Red]\(#,##0\)">
                  <c:v>27.378125000000008</c:v>
                </c:pt>
                <c:pt idx="1">
                  <c:v>0</c:v>
                </c:pt>
              </c:numCache>
            </c:numRef>
          </c:cat>
          <c:val>
            <c:numRef>
              <c:f>'結果 (2-3SDGs)'!$T$31:$Z$31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372-4D49-97B5-8248CDA648BE}"/>
            </c:ext>
          </c:extLst>
        </c:ser>
        <c:ser>
          <c:idx val="1"/>
          <c:order val="5"/>
          <c:tx>
            <c:strRef>
              <c:f>'結果 (2-3SDGs)'!$S$33</c:f>
              <c:strCache>
                <c:ptCount val="1"/>
                <c:pt idx="0">
                  <c:v>B-</c:v>
                </c:pt>
              </c:strCache>
            </c:strRef>
          </c:tx>
          <c:spPr>
            <a:solidFill>
              <a:srgbClr val="FFFFFF"/>
            </a:solidFill>
            <a:ln w="12700">
              <a:solidFill>
                <a:srgbClr val="000000"/>
              </a:solidFill>
              <a:prstDash val="solid"/>
            </a:ln>
          </c:spPr>
          <c:cat>
            <c:numRef>
              <c:f>'結果 (2-3SDGs)'!$T$23:$U$23</c:f>
              <c:numCache>
                <c:formatCode>General</c:formatCode>
                <c:ptCount val="2"/>
                <c:pt idx="0" formatCode="#,##0_);[Red]\(#,##0\)">
                  <c:v>27.378125000000008</c:v>
                </c:pt>
                <c:pt idx="1">
                  <c:v>0</c:v>
                </c:pt>
              </c:numCache>
            </c:numRef>
          </c:cat>
          <c:val>
            <c:numRef>
              <c:f>'結果 (2-3SDGs)'!$T$33:$Z$33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372-4D49-97B5-8248CDA648BE}"/>
            </c:ext>
          </c:extLst>
        </c:ser>
        <c:ser>
          <c:idx val="0"/>
          <c:order val="7"/>
          <c:tx>
            <c:strRef>
              <c:f>'結果 (2-3SDGs)'!$S$32</c:f>
              <c:strCache>
                <c:ptCount val="1"/>
                <c:pt idx="0">
                  <c:v>B</c:v>
                </c:pt>
              </c:strCache>
            </c:strRef>
          </c:tx>
          <c:spPr>
            <a:noFill/>
            <a:ln w="12700">
              <a:solidFill>
                <a:srgbClr val="000000"/>
              </a:solidFill>
              <a:prstDash val="solid"/>
            </a:ln>
          </c:spPr>
          <c:cat>
            <c:numRef>
              <c:f>'結果 (2-3SDGs)'!$T$23:$U$23</c:f>
              <c:numCache>
                <c:formatCode>General</c:formatCode>
                <c:ptCount val="2"/>
                <c:pt idx="0" formatCode="#,##0_);[Red]\(#,##0\)">
                  <c:v>27.378125000000008</c:v>
                </c:pt>
                <c:pt idx="1">
                  <c:v>0</c:v>
                </c:pt>
              </c:numCache>
            </c:numRef>
          </c:cat>
          <c:val>
            <c:numRef>
              <c:f>'結果 (2-3SDGs)'!$T$32:$Z$32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372-4D49-97B5-8248CDA648BE}"/>
            </c:ext>
          </c:extLst>
        </c:ser>
        <c:dLbls>
          <c:showLegendKey val="0"/>
          <c:showVal val="0"/>
          <c:showCatName val="0"/>
          <c:showSerName val="0"/>
          <c:showPercent val="0"/>
          <c:showBubbleSize val="0"/>
        </c:dLbls>
        <c:axId val="298826608"/>
        <c:axId val="298825432"/>
      </c:areaChart>
      <c:scatterChart>
        <c:scatterStyle val="lineMarker"/>
        <c:varyColors val="0"/>
        <c:ser>
          <c:idx val="7"/>
          <c:order val="0"/>
          <c:spPr>
            <a:ln w="25400">
              <a:solidFill>
                <a:srgbClr val="008000"/>
              </a:solidFill>
              <a:prstDash val="sysDash"/>
            </a:ln>
          </c:spPr>
          <c:marker>
            <c:symbol val="none"/>
          </c:marker>
          <c:dPt>
            <c:idx val="1"/>
            <c:bubble3D val="0"/>
            <c:spPr>
              <a:ln w="28575">
                <a:noFill/>
              </a:ln>
            </c:spPr>
            <c:extLst>
              <c:ext xmlns:c16="http://schemas.microsoft.com/office/drawing/2014/chart" uri="{C3380CC4-5D6E-409C-BE32-E72D297353CC}">
                <c16:uniqueId val="{00000006-A372-4D49-97B5-8248CDA648BE}"/>
              </c:ext>
            </c:extLst>
          </c:dPt>
          <c:dLbls>
            <c:dLbl>
              <c:idx val="2"/>
              <c:layout>
                <c:manualLayout>
                  <c:x val="-4.9675036199420524E-3"/>
                  <c:y val="0.28735736334297823"/>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72-4D49-97B5-8248CDA648BE}"/>
                </c:ext>
              </c:extLst>
            </c:dLbl>
            <c:dLbl>
              <c:idx val="3"/>
              <c:layout>
                <c:manualLayout>
                  <c:x val="-7.3840383222824966E-3"/>
                  <c:y val="-3.552788476683830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72-4D49-97B5-8248CDA648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 (2-3SDGs)'!$R$25:$U$25</c:f>
              <c:numCache>
                <c:formatCode>General</c:formatCode>
                <c:ptCount val="4"/>
                <c:pt idx="0">
                  <c:v>0</c:v>
                </c:pt>
                <c:pt idx="1">
                  <c:v>27.378125000000008</c:v>
                </c:pt>
                <c:pt idx="2" formatCode="#,##0_);[Red]\(#,##0\)">
                  <c:v>27.378125000000008</c:v>
                </c:pt>
                <c:pt idx="3">
                  <c:v>0.1</c:v>
                </c:pt>
              </c:numCache>
            </c:numRef>
          </c:xVal>
          <c:yVal>
            <c:numRef>
              <c:f>'結果 (2-3SDGs)'!$R$26:$U$26</c:f>
              <c:numCache>
                <c:formatCode>General</c:formatCode>
                <c:ptCount val="4"/>
                <c:pt idx="0">
                  <c:v>0</c:v>
                </c:pt>
                <c:pt idx="1">
                  <c:v>0</c:v>
                </c:pt>
                <c:pt idx="2">
                  <c:v>80.243749999999991</c:v>
                </c:pt>
                <c:pt idx="3" formatCode="#,##0_);[Red]\(#,##0\)">
                  <c:v>80.243749999999991</c:v>
                </c:pt>
              </c:numCache>
            </c:numRef>
          </c:yVal>
          <c:smooth val="0"/>
          <c:extLst>
            <c:ext xmlns:c16="http://schemas.microsoft.com/office/drawing/2014/chart" uri="{C3380CC4-5D6E-409C-BE32-E72D297353CC}">
              <c16:uniqueId val="{00000009-A372-4D49-97B5-8248CDA648BE}"/>
            </c:ext>
          </c:extLst>
        </c:ser>
        <c:ser>
          <c:idx val="8"/>
          <c:order val="1"/>
          <c:spPr>
            <a:ln w="28575">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372-4D49-97B5-8248CDA648B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372-4D49-97B5-8248CDA648BE}"/>
              </c:ext>
            </c:extLst>
          </c:dPt>
          <c:xVal>
            <c:numRef>
              <c:f>'結果 (2-3SDGs)'!$R$25:$U$25</c:f>
              <c:numCache>
                <c:formatCode>General</c:formatCode>
                <c:ptCount val="4"/>
                <c:pt idx="0">
                  <c:v>0</c:v>
                </c:pt>
                <c:pt idx="1">
                  <c:v>27.378125000000008</c:v>
                </c:pt>
                <c:pt idx="2" formatCode="#,##0_);[Red]\(#,##0\)">
                  <c:v>27.378125000000008</c:v>
                </c:pt>
                <c:pt idx="3">
                  <c:v>0.1</c:v>
                </c:pt>
              </c:numCache>
            </c:numRef>
          </c:xVal>
          <c:yVal>
            <c:numRef>
              <c:f>'結果 (2-3SDGs)'!$R$26:$U$26</c:f>
              <c:numCache>
                <c:formatCode>General</c:formatCode>
                <c:ptCount val="4"/>
                <c:pt idx="0">
                  <c:v>0</c:v>
                </c:pt>
                <c:pt idx="1">
                  <c:v>0</c:v>
                </c:pt>
                <c:pt idx="2">
                  <c:v>80.243749999999991</c:v>
                </c:pt>
                <c:pt idx="3" formatCode="#,##0_);[Red]\(#,##0\)">
                  <c:v>80.243749999999991</c:v>
                </c:pt>
              </c:numCache>
            </c:numRef>
          </c:yVal>
          <c:smooth val="0"/>
          <c:extLst>
            <c:ext xmlns:c16="http://schemas.microsoft.com/office/drawing/2014/chart" uri="{C3380CC4-5D6E-409C-BE32-E72D297353CC}">
              <c16:uniqueId val="{0000000C-A372-4D49-97B5-8248CDA648BE}"/>
            </c:ext>
          </c:extLst>
        </c:ser>
        <c:ser>
          <c:idx val="5"/>
          <c:order val="6"/>
          <c:tx>
            <c:strRef>
              <c:f>'結果 (2-3SDGs)'!$S$13</c:f>
              <c:strCache>
                <c:ptCount val="1"/>
                <c:pt idx="0">
                  <c:v>2.9</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372-4D49-97B5-8248CDA648BE}"/>
              </c:ext>
            </c:extLst>
          </c:dPt>
          <c:dPt>
            <c:idx val="1"/>
            <c:marker>
              <c:symbol val="triangle"/>
              <c:size val="20"/>
              <c:spPr>
                <a:solidFill>
                  <a:srgbClr val="339966"/>
                </a:solidFill>
                <a:ln>
                  <a:solidFill>
                    <a:srgbClr val="000000"/>
                  </a:solidFill>
                  <a:prstDash val="solid"/>
                </a:ln>
              </c:spPr>
            </c:marker>
            <c:bubble3D val="0"/>
            <c:spPr>
              <a:ln w="28575">
                <a:noFill/>
              </a:ln>
            </c:spPr>
            <c:extLst>
              <c:ext xmlns:c16="http://schemas.microsoft.com/office/drawing/2014/chart" uri="{C3380CC4-5D6E-409C-BE32-E72D297353CC}">
                <c16:uniqueId val="{0000000F-A372-4D49-97B5-8248CDA648BE}"/>
              </c:ext>
            </c:extLst>
          </c:dPt>
          <c:dPt>
            <c:idx val="2"/>
            <c:bubble3D val="0"/>
            <c:spPr>
              <a:ln w="38100">
                <a:solidFill>
                  <a:srgbClr val="008000"/>
                </a:solidFill>
                <a:prstDash val="solid"/>
              </a:ln>
            </c:spPr>
            <c:extLst>
              <c:ext xmlns:c16="http://schemas.microsoft.com/office/drawing/2014/chart" uri="{C3380CC4-5D6E-409C-BE32-E72D297353CC}">
                <c16:uniqueId val="{00000011-A372-4D49-97B5-8248CDA648BE}"/>
              </c:ext>
            </c:extLst>
          </c:dPt>
          <c:xVal>
            <c:numRef>
              <c:f>'結果 (2-3SDGs)'!$S$23:$U$23</c:f>
              <c:numCache>
                <c:formatCode>#,##0_);[Red]\(#,##0\)</c:formatCode>
                <c:ptCount val="3"/>
                <c:pt idx="1">
                  <c:v>27.378125000000008</c:v>
                </c:pt>
                <c:pt idx="2" formatCode="General">
                  <c:v>0</c:v>
                </c:pt>
              </c:numCache>
            </c:numRef>
          </c:xVal>
          <c:yVal>
            <c:numRef>
              <c:f>'結果 (2-3SDGs)'!$S$24:$U$24</c:f>
              <c:numCache>
                <c:formatCode>#,##0_);[Red]\(#,##0\)</c:formatCode>
                <c:ptCount val="3"/>
                <c:pt idx="1">
                  <c:v>80.243749999999991</c:v>
                </c:pt>
                <c:pt idx="2" formatCode="General">
                  <c:v>0</c:v>
                </c:pt>
              </c:numCache>
            </c:numRef>
          </c:yVal>
          <c:smooth val="0"/>
          <c:extLst>
            <c:ext xmlns:c16="http://schemas.microsoft.com/office/drawing/2014/chart" uri="{C3380CC4-5D6E-409C-BE32-E72D297353CC}">
              <c16:uniqueId val="{00000012-A372-4D49-97B5-8248CDA648BE}"/>
            </c:ext>
          </c:extLst>
        </c:ser>
        <c:dLbls>
          <c:showLegendKey val="0"/>
          <c:showVal val="0"/>
          <c:showCatName val="0"/>
          <c:showSerName val="0"/>
          <c:showPercent val="0"/>
          <c:showBubbleSize val="0"/>
        </c:dLbls>
        <c:axId val="298825824"/>
        <c:axId val="298830528"/>
      </c:scatterChart>
      <c:catAx>
        <c:axId val="298826608"/>
        <c:scaling>
          <c:orientation val="minMax"/>
        </c:scaling>
        <c:delete val="0"/>
        <c:axPos val="b"/>
        <c:numFmt formatCode="#,##0_);[Red]\(#,##0\)" sourceLinked="1"/>
        <c:majorTickMark val="none"/>
        <c:minorTickMark val="none"/>
        <c:tickLblPos val="none"/>
        <c:spPr>
          <a:ln w="3175">
            <a:solidFill>
              <a:srgbClr val="000000"/>
            </a:solidFill>
            <a:prstDash val="solid"/>
          </a:ln>
        </c:spPr>
        <c:crossAx val="298825432"/>
        <c:crosses val="autoZero"/>
        <c:auto val="0"/>
        <c:lblAlgn val="ctr"/>
        <c:lblOffset val="100"/>
        <c:tickLblSkip val="50"/>
        <c:tickMarkSkip val="50"/>
        <c:noMultiLvlLbl val="0"/>
      </c:catAx>
      <c:valAx>
        <c:axId val="29882543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8826608"/>
        <c:crosses val="autoZero"/>
        <c:crossBetween val="midCat"/>
        <c:majorUnit val="50"/>
      </c:valAx>
      <c:valAx>
        <c:axId val="29882582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8830528"/>
        <c:crosses val="max"/>
        <c:crossBetween val="midCat"/>
        <c:majorUnit val="50"/>
      </c:valAx>
      <c:valAx>
        <c:axId val="29883052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9882582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29266483032377E-2"/>
          <c:y val="7.7784224340378558E-2"/>
          <c:w val="0.93266299933909191"/>
          <c:h val="0.89156626506024006"/>
        </c:manualLayout>
      </c:layout>
      <c:barChart>
        <c:barDir val="bar"/>
        <c:grouping val="percentStacked"/>
        <c:varyColors val="0"/>
        <c:ser>
          <c:idx val="0"/>
          <c:order val="0"/>
          <c:tx>
            <c:strRef>
              <c:f>'結果 (2-3SDGs)'!$S$16</c:f>
              <c:strCache>
                <c:ptCount val="1"/>
                <c:pt idx="0">
                  <c:v>0.8</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 (2-3SDGs)'!$R$16</c:f>
              <c:strCache>
                <c:ptCount val="1"/>
                <c:pt idx="0">
                  <c:v>Rank(red star)</c:v>
                </c:pt>
              </c:strCache>
            </c:strRef>
          </c:cat>
          <c:val>
            <c:numRef>
              <c:f>'結果 (2-3SDGs)'!$S$16</c:f>
              <c:numCache>
                <c:formatCode>#,##0.0;[Red]\-#,##0.0</c:formatCode>
                <c:ptCount val="1"/>
                <c:pt idx="0">
                  <c:v>0.8</c:v>
                </c:pt>
              </c:numCache>
            </c:numRef>
          </c:val>
          <c:extLst>
            <c:ext xmlns:c16="http://schemas.microsoft.com/office/drawing/2014/chart" uri="{C3380CC4-5D6E-409C-BE32-E72D297353CC}">
              <c16:uniqueId val="{00000000-0B65-4B9B-AD96-1A1E93E6029B}"/>
            </c:ext>
          </c:extLst>
        </c:ser>
        <c:ser>
          <c:idx val="1"/>
          <c:order val="1"/>
          <c:tx>
            <c:strRef>
              <c:f>'結果 (2-3SDGs)'!$S$17</c:f>
              <c:strCache>
                <c:ptCount val="1"/>
                <c:pt idx="0">
                  <c:v>0.2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2-0B65-4B9B-AD96-1A1E93E6029B}"/>
              </c:ext>
            </c:extLst>
          </c:dPt>
          <c:cat>
            <c:strRef>
              <c:f>'結果 (2-3SDGs)'!$R$16</c:f>
              <c:strCache>
                <c:ptCount val="1"/>
                <c:pt idx="0">
                  <c:v>Rank(red star)</c:v>
                </c:pt>
              </c:strCache>
            </c:strRef>
          </c:cat>
          <c:val>
            <c:numRef>
              <c:f>'結果 (2-3SDGs)'!$S$17</c:f>
              <c:numCache>
                <c:formatCode>#,##0.0;[Red]\-#,##0.0</c:formatCode>
                <c:ptCount val="1"/>
                <c:pt idx="0">
                  <c:v>0.19999999999999996</c:v>
                </c:pt>
              </c:numCache>
            </c:numRef>
          </c:val>
          <c:extLst>
            <c:ext xmlns:c16="http://schemas.microsoft.com/office/drawing/2014/chart" uri="{C3380CC4-5D6E-409C-BE32-E72D297353CC}">
              <c16:uniqueId val="{00000003-0B65-4B9B-AD96-1A1E93E6029B}"/>
            </c:ext>
          </c:extLst>
        </c:ser>
        <c:dLbls>
          <c:showLegendKey val="0"/>
          <c:showVal val="0"/>
          <c:showCatName val="0"/>
          <c:showSerName val="0"/>
          <c:showPercent val="0"/>
          <c:showBubbleSize val="0"/>
        </c:dLbls>
        <c:gapWidth val="50"/>
        <c:overlap val="100"/>
        <c:axId val="298823472"/>
        <c:axId val="298827392"/>
      </c:barChart>
      <c:catAx>
        <c:axId val="298823472"/>
        <c:scaling>
          <c:orientation val="minMax"/>
        </c:scaling>
        <c:delete val="1"/>
        <c:axPos val="l"/>
        <c:numFmt formatCode="General" sourceLinked="1"/>
        <c:majorTickMark val="out"/>
        <c:minorTickMark val="none"/>
        <c:tickLblPos val="none"/>
        <c:crossAx val="298827392"/>
        <c:crosses val="autoZero"/>
        <c:auto val="1"/>
        <c:lblAlgn val="ctr"/>
        <c:lblOffset val="100"/>
        <c:noMultiLvlLbl val="0"/>
      </c:catAx>
      <c:valAx>
        <c:axId val="298827392"/>
        <c:scaling>
          <c:orientation val="minMax"/>
          <c:max val="1"/>
        </c:scaling>
        <c:delete val="1"/>
        <c:axPos val="b"/>
        <c:numFmt formatCode="0%" sourceLinked="1"/>
        <c:majorTickMark val="out"/>
        <c:minorTickMark val="none"/>
        <c:tickLblPos val="none"/>
        <c:crossAx val="298823472"/>
        <c:crosses val="autoZero"/>
        <c:crossBetween val="between"/>
        <c:maj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568906826002568E-2"/>
          <c:w val="0.9098403139422957"/>
          <c:h val="0.73459885635472966"/>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7BE-4173-AF5E-3519184D34E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7BE-4173-AF5E-3519184D34E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7BE-4173-AF5E-3519184D34E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7BE-4173-AF5E-3519184D34E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'結果（2-3レーダー）'!$U$59:$U$61</c:f>
              <c:strCache>
                <c:ptCount val="3"/>
                <c:pt idx="0">
                  <c:v>省資源、廃棄物抑制に役立つ材料の採用</c:v>
                </c:pt>
                <c:pt idx="1">
                  <c:v>低環境負荷材料</c:v>
                </c:pt>
                <c:pt idx="2">
                  <c:v>リサイクルの促進</c:v>
                </c:pt>
              </c:strCache>
            </c:strRef>
          </c:cat>
          <c:val>
            <c:numRef>
              <c:f>'結果（2-3レーダー）'!$V$59:$V$61</c:f>
              <c:numCache>
                <c:formatCode>0.0_ </c:formatCode>
                <c:ptCount val="3"/>
                <c:pt idx="0">
                  <c:v>3.8</c:v>
                </c:pt>
                <c:pt idx="1">
                  <c:v>2.2999999999999998</c:v>
                </c:pt>
                <c:pt idx="2">
                  <c:v>5</c:v>
                </c:pt>
              </c:numCache>
            </c:numRef>
          </c:val>
          <c:extLst>
            <c:ext xmlns:c16="http://schemas.microsoft.com/office/drawing/2014/chart" uri="{C3380CC4-5D6E-409C-BE32-E72D297353CC}">
              <c16:uniqueId val="{00000004-7870-4136-B593-694DBFB18F48}"/>
            </c:ext>
          </c:extLst>
        </c:ser>
        <c:dLbls>
          <c:showLegendKey val="0"/>
          <c:showVal val="0"/>
          <c:showCatName val="0"/>
          <c:showSerName val="0"/>
          <c:showPercent val="0"/>
          <c:showBubbleSize val="0"/>
        </c:dLbls>
        <c:gapWidth val="80"/>
        <c:axId val="211845256"/>
        <c:axId val="211846040"/>
      </c:barChart>
      <c:catAx>
        <c:axId val="211845256"/>
        <c:scaling>
          <c:orientation val="minMax"/>
        </c:scaling>
        <c:delete val="0"/>
        <c:axPos val="b"/>
        <c:numFmt formatCode="General" sourceLinked="1"/>
        <c:majorTickMark val="none"/>
        <c:minorTickMark val="none"/>
        <c:tickLblPos val="none"/>
        <c:spPr>
          <a:ln w="3175">
            <a:solidFill>
              <a:srgbClr val="000000"/>
            </a:solidFill>
            <a:prstDash val="solid"/>
          </a:ln>
        </c:spPr>
        <c:crossAx val="211846040"/>
        <c:crossesAt val="0"/>
        <c:auto val="1"/>
        <c:lblAlgn val="ctr"/>
        <c:lblOffset val="100"/>
        <c:tickMarkSkip val="1"/>
        <c:noMultiLvlLbl val="0"/>
      </c:catAx>
      <c:valAx>
        <c:axId val="211846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845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74E-2"/>
          <c:w val="0.96283783783783783"/>
          <c:h val="0.8409137568456857"/>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2280-44A2-A190-4061FA5CE367}"/>
              </c:ext>
            </c:extLst>
          </c:dPt>
          <c:cat>
            <c:strRef>
              <c:f>'結果 (2-3SDGs)'!$R$36</c:f>
              <c:strCache>
                <c:ptCount val="1"/>
                <c:pt idx="0">
                  <c:v>Rank(green star)</c:v>
                </c:pt>
              </c:strCache>
            </c:strRef>
          </c:cat>
          <c:val>
            <c:numRef>
              <c:f>'結果 (2-3SDGs)'!$S$36</c:f>
              <c:numCache>
                <c:formatCode>#,##0.0;[Red]\-#,##0.0</c:formatCode>
                <c:ptCount val="1"/>
                <c:pt idx="0">
                  <c:v>0.6</c:v>
                </c:pt>
              </c:numCache>
            </c:numRef>
          </c:val>
          <c:extLst>
            <c:ext xmlns:c16="http://schemas.microsoft.com/office/drawing/2014/chart" uri="{C3380CC4-5D6E-409C-BE32-E72D297353CC}">
              <c16:uniqueId val="{00000002-2280-44A2-A190-4061FA5CE367}"/>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 (2-3SDGs)'!$R$36</c:f>
              <c:strCache>
                <c:ptCount val="1"/>
                <c:pt idx="0">
                  <c:v>Rank(green star)</c:v>
                </c:pt>
              </c:strCache>
            </c:strRef>
          </c:cat>
          <c:val>
            <c:numRef>
              <c:f>'結果 (2-3SDGs)'!$S$37</c:f>
              <c:numCache>
                <c:formatCode>#,##0.0;[Red]\-#,##0.0</c:formatCode>
                <c:ptCount val="1"/>
                <c:pt idx="0">
                  <c:v>0.4</c:v>
                </c:pt>
              </c:numCache>
            </c:numRef>
          </c:val>
          <c:extLst>
            <c:ext xmlns:c16="http://schemas.microsoft.com/office/drawing/2014/chart" uri="{C3380CC4-5D6E-409C-BE32-E72D297353CC}">
              <c16:uniqueId val="{00000003-2280-44A2-A190-4061FA5CE367}"/>
            </c:ext>
          </c:extLst>
        </c:ser>
        <c:dLbls>
          <c:showLegendKey val="0"/>
          <c:showVal val="0"/>
          <c:showCatName val="0"/>
          <c:showSerName val="0"/>
          <c:showPercent val="0"/>
          <c:showBubbleSize val="0"/>
        </c:dLbls>
        <c:gapWidth val="50"/>
        <c:overlap val="100"/>
        <c:axId val="299138032"/>
        <c:axId val="299132936"/>
      </c:barChart>
      <c:catAx>
        <c:axId val="299138032"/>
        <c:scaling>
          <c:orientation val="minMax"/>
        </c:scaling>
        <c:delete val="1"/>
        <c:axPos val="l"/>
        <c:numFmt formatCode="General" sourceLinked="1"/>
        <c:majorTickMark val="out"/>
        <c:minorTickMark val="none"/>
        <c:tickLblPos val="none"/>
        <c:crossAx val="299132936"/>
        <c:crosses val="autoZero"/>
        <c:auto val="1"/>
        <c:lblAlgn val="ctr"/>
        <c:lblOffset val="100"/>
        <c:noMultiLvlLbl val="0"/>
      </c:catAx>
      <c:valAx>
        <c:axId val="299132936"/>
        <c:scaling>
          <c:orientation val="minMax"/>
        </c:scaling>
        <c:delete val="1"/>
        <c:axPos val="b"/>
        <c:numFmt formatCode="0%" sourceLinked="1"/>
        <c:majorTickMark val="out"/>
        <c:minorTickMark val="none"/>
        <c:tickLblPos val="none"/>
        <c:crossAx val="29913803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30189320280639E-2"/>
          <c:y val="0.15111127507733849"/>
          <c:w val="0.86713434757148"/>
          <c:h val="0.64888959297915938"/>
        </c:manualLayout>
      </c:layout>
      <c:barChart>
        <c:barDir val="bar"/>
        <c:grouping val="stacked"/>
        <c:varyColors val="0"/>
        <c:ser>
          <c:idx val="0"/>
          <c:order val="0"/>
          <c:tx>
            <c:strRef>
              <c:f>'結果 (2-3SDGs)'!$S$39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5DA-4037-9DB4-037C3A4DAA55}"/>
              </c:ext>
            </c:extLst>
          </c:dPt>
          <c:val>
            <c:numRef>
              <c:f>'結果 (2-3SDGs)'!$S$40:$S$43</c:f>
              <c:numCache>
                <c:formatCode>#,##0_);[Red]\(#,##0\)</c:formatCode>
                <c:ptCount val="4"/>
                <c:pt idx="0">
                  <c:v>9.52</c:v>
                </c:pt>
                <c:pt idx="1">
                  <c:v>2.7896000000000001</c:v>
                </c:pt>
              </c:numCache>
            </c:numRef>
          </c:val>
          <c:extLst>
            <c:ext xmlns:c16="http://schemas.microsoft.com/office/drawing/2014/chart" uri="{C3380CC4-5D6E-409C-BE32-E72D297353CC}">
              <c16:uniqueId val="{00000002-55DA-4037-9DB4-037C3A4DAA55}"/>
            </c:ext>
          </c:extLst>
        </c:ser>
        <c:ser>
          <c:idx val="1"/>
          <c:order val="1"/>
          <c:tx>
            <c:strRef>
              <c:f>'結果 (2-3SDGs)'!$T$39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5DA-4037-9DB4-037C3A4DAA55}"/>
              </c:ext>
            </c:extLst>
          </c:dPt>
          <c:val>
            <c:numRef>
              <c:f>'結果 (2-3SDGs)'!$T$40:$T$43</c:f>
              <c:numCache>
                <c:formatCode>#,##0_);[Red]\(#,##0\)</c:formatCode>
                <c:ptCount val="4"/>
                <c:pt idx="0">
                  <c:v>2.83</c:v>
                </c:pt>
                <c:pt idx="1">
                  <c:v>4.75</c:v>
                </c:pt>
              </c:numCache>
            </c:numRef>
          </c:val>
          <c:extLst>
            <c:ext xmlns:c16="http://schemas.microsoft.com/office/drawing/2014/chart" uri="{C3380CC4-5D6E-409C-BE32-E72D297353CC}">
              <c16:uniqueId val="{00000005-55DA-4037-9DB4-037C3A4DAA55}"/>
            </c:ext>
          </c:extLst>
        </c:ser>
        <c:ser>
          <c:idx val="2"/>
          <c:order val="2"/>
          <c:tx>
            <c:strRef>
              <c:f>'結果 (2-3SDGs)'!$U$39</c:f>
              <c:strCache>
                <c:ptCount val="1"/>
                <c:pt idx="0">
                  <c:v>居住</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5DA-4037-9DB4-037C3A4DAA55}"/>
              </c:ext>
            </c:extLst>
          </c:dPt>
          <c:val>
            <c:numRef>
              <c:f>'結果 (2-3SDGs)'!$U$40:$U$43</c:f>
              <c:numCache>
                <c:formatCode>#,##0_);[Red]\(#,##0\)</c:formatCode>
                <c:ptCount val="4"/>
                <c:pt idx="0">
                  <c:v>38.802961218453483</c:v>
                </c:pt>
                <c:pt idx="1">
                  <c:v>29.86964678777413</c:v>
                </c:pt>
              </c:numCache>
            </c:numRef>
          </c:val>
          <c:extLst>
            <c:ext xmlns:c16="http://schemas.microsoft.com/office/drawing/2014/chart" uri="{C3380CC4-5D6E-409C-BE32-E72D297353CC}">
              <c16:uniqueId val="{00000008-55DA-4037-9DB4-037C3A4DAA55}"/>
            </c:ext>
          </c:extLst>
        </c:ser>
        <c:ser>
          <c:idx val="3"/>
          <c:order val="3"/>
          <c:tx>
            <c:strRef>
              <c:f>'結果 (2-3SDGs)'!$V$39</c:f>
              <c:strCache>
                <c:ptCount val="1"/>
                <c:pt idx="0">
                  <c:v>オンサイト</c:v>
                </c:pt>
              </c:strCache>
            </c:strRef>
          </c:tx>
          <c:spPr>
            <a:solidFill>
              <a:srgbClr val="969696"/>
            </a:solidFill>
            <a:ln w="12700">
              <a:solidFill>
                <a:srgbClr val="000000"/>
              </a:solidFill>
              <a:prstDash val="solid"/>
            </a:ln>
          </c:spPr>
          <c:invertIfNegative val="0"/>
          <c:val>
            <c:numRef>
              <c:f>'結果 (2-3SDGs)'!$V$40:$V$43</c:f>
              <c:numCache>
                <c:formatCode>General</c:formatCode>
                <c:ptCount val="4"/>
                <c:pt idx="2" formatCode="#,##0_);[Red]\(#,##0\)">
                  <c:v>37.40924678777413</c:v>
                </c:pt>
              </c:numCache>
            </c:numRef>
          </c:val>
          <c:extLst>
            <c:ext xmlns:c16="http://schemas.microsoft.com/office/drawing/2014/chart" uri="{C3380CC4-5D6E-409C-BE32-E72D297353CC}">
              <c16:uniqueId val="{00000009-55DA-4037-9DB4-037C3A4DAA55}"/>
            </c:ext>
          </c:extLst>
        </c:ser>
        <c:ser>
          <c:idx val="4"/>
          <c:order val="4"/>
          <c:tx>
            <c:strRef>
              <c:f>'結果 (2-3SDGs)'!$W$39</c:f>
              <c:strCache>
                <c:ptCount val="1"/>
                <c:pt idx="0">
                  <c:v>オフサイト</c:v>
                </c:pt>
              </c:strCache>
            </c:strRef>
          </c:tx>
          <c:spPr>
            <a:pattFill prst="pct60">
              <a:fgClr>
                <a:srgbClr val="969696"/>
              </a:fgClr>
              <a:bgClr>
                <a:srgbClr val="FFFFFF"/>
              </a:bgClr>
            </a:pattFill>
            <a:ln w="12700">
              <a:solidFill>
                <a:srgbClr val="000000"/>
              </a:solidFill>
              <a:prstDash val="solid"/>
            </a:ln>
          </c:spPr>
          <c:invertIfNegative val="0"/>
          <c:val>
            <c:numRef>
              <c:f>'結果 (2-3SDGs)'!$W$40:$W$43</c:f>
              <c:numCache>
                <c:formatCode>General</c:formatCode>
                <c:ptCount val="4"/>
                <c:pt idx="3" formatCode="#,##0_);[Red]\(#,##0\)">
                  <c:v>37.40924678777413</c:v>
                </c:pt>
              </c:numCache>
            </c:numRef>
          </c:val>
          <c:extLst>
            <c:ext xmlns:c16="http://schemas.microsoft.com/office/drawing/2014/chart" uri="{C3380CC4-5D6E-409C-BE32-E72D297353CC}">
              <c16:uniqueId val="{0000000A-55DA-4037-9DB4-037C3A4DAA55}"/>
            </c:ext>
          </c:extLst>
        </c:ser>
        <c:dLbls>
          <c:showLegendKey val="0"/>
          <c:showVal val="0"/>
          <c:showCatName val="0"/>
          <c:showSerName val="0"/>
          <c:showPercent val="0"/>
          <c:showBubbleSize val="0"/>
        </c:dLbls>
        <c:gapWidth val="50"/>
        <c:overlap val="100"/>
        <c:axId val="299133328"/>
        <c:axId val="299133720"/>
      </c:barChart>
      <c:catAx>
        <c:axId val="299133328"/>
        <c:scaling>
          <c:orientation val="maxMin"/>
        </c:scaling>
        <c:delete val="1"/>
        <c:axPos val="l"/>
        <c:majorTickMark val="out"/>
        <c:minorTickMark val="none"/>
        <c:tickLblPos val="none"/>
        <c:crossAx val="299133720"/>
        <c:crosses val="autoZero"/>
        <c:auto val="1"/>
        <c:lblAlgn val="ctr"/>
        <c:lblOffset val="100"/>
        <c:noMultiLvlLbl val="0"/>
      </c:catAx>
      <c:valAx>
        <c:axId val="299133720"/>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9133328"/>
        <c:crosses val="max"/>
        <c:crossBetween val="between"/>
        <c:majorUnit val="20"/>
      </c:valAx>
      <c:spPr>
        <a:noFill/>
        <a:ln w="3175">
          <a:solidFill>
            <a:srgbClr val="000000"/>
          </a:solidFill>
          <a:prstDash val="solid"/>
        </a:ln>
      </c:spPr>
    </c:plotArea>
    <c:legend>
      <c:legendPos val="r"/>
      <c:layout>
        <c:manualLayout>
          <c:xMode val="edge"/>
          <c:yMode val="edge"/>
          <c:x val="7.8538417991868711E-2"/>
          <c:y val="4.4477107028288131E-2"/>
          <c:w val="0.8757054191755449"/>
          <c:h val="0.11119218431029458"/>
        </c:manualLayout>
      </c:layout>
      <c:overlay val="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AB15-44A0-B976-83186F3D5B26}"/>
              </c:ext>
            </c:extLst>
          </c:dPt>
          <c:cat>
            <c:strRef>
              <c:f>'結果 (2-3SDGs)'!$AO$45:$AQ$45</c:f>
              <c:strCache>
                <c:ptCount val="1"/>
                <c:pt idx="0">
                  <c:v>SDGsRank(Ring)</c:v>
                </c:pt>
              </c:strCache>
            </c:strRef>
          </c:cat>
          <c:val>
            <c:numRef>
              <c:f>'結果 (2-3SDGs)'!$AR$45</c:f>
              <c:numCache>
                <c:formatCode>0.00_ </c:formatCode>
                <c:ptCount val="1"/>
                <c:pt idx="0">
                  <c:v>0</c:v>
                </c:pt>
              </c:numCache>
            </c:numRef>
          </c:val>
          <c:extLst>
            <c:ext xmlns:c16="http://schemas.microsoft.com/office/drawing/2014/chart" uri="{C3380CC4-5D6E-409C-BE32-E72D297353CC}">
              <c16:uniqueId val="{00000001-AB15-44A0-B976-83186F3D5B26}"/>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 (2-3SDGs)'!$AO$45:$AQ$45</c:f>
              <c:strCache>
                <c:ptCount val="1"/>
                <c:pt idx="0">
                  <c:v>SDGsRank(Ring)</c:v>
                </c:pt>
              </c:strCache>
            </c:strRef>
          </c:cat>
          <c:val>
            <c:numRef>
              <c:f>'結果 (2-3SDGs)'!$AR$46</c:f>
              <c:numCache>
                <c:formatCode>0.00_ </c:formatCode>
                <c:ptCount val="1"/>
                <c:pt idx="0">
                  <c:v>1</c:v>
                </c:pt>
              </c:numCache>
            </c:numRef>
          </c:val>
          <c:extLst>
            <c:ext xmlns:c16="http://schemas.microsoft.com/office/drawing/2014/chart" uri="{C3380CC4-5D6E-409C-BE32-E72D297353CC}">
              <c16:uniqueId val="{00000002-AB15-44A0-B976-83186F3D5B26}"/>
            </c:ext>
          </c:extLst>
        </c:ser>
        <c:dLbls>
          <c:showLegendKey val="0"/>
          <c:showVal val="0"/>
          <c:showCatName val="0"/>
          <c:showSerName val="0"/>
          <c:showPercent val="0"/>
          <c:showBubbleSize val="0"/>
        </c:dLbls>
        <c:gapWidth val="43"/>
        <c:overlap val="100"/>
        <c:axId val="205820944"/>
        <c:axId val="204049208"/>
      </c:barChart>
      <c:catAx>
        <c:axId val="205820944"/>
        <c:scaling>
          <c:orientation val="minMax"/>
        </c:scaling>
        <c:delete val="1"/>
        <c:axPos val="l"/>
        <c:numFmt formatCode="General" sourceLinked="1"/>
        <c:majorTickMark val="out"/>
        <c:minorTickMark val="none"/>
        <c:tickLblPos val="nextTo"/>
        <c:crossAx val="204049208"/>
        <c:crosses val="autoZero"/>
        <c:auto val="1"/>
        <c:lblAlgn val="ctr"/>
        <c:lblOffset val="100"/>
        <c:noMultiLvlLbl val="0"/>
      </c:catAx>
      <c:valAx>
        <c:axId val="204049208"/>
        <c:scaling>
          <c:orientation val="minMax"/>
        </c:scaling>
        <c:delete val="1"/>
        <c:axPos val="b"/>
        <c:numFmt formatCode="0%" sourceLinked="1"/>
        <c:majorTickMark val="out"/>
        <c:minorTickMark val="none"/>
        <c:tickLblPos val="nextTo"/>
        <c:crossAx val="2058209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18037186651569E-2"/>
          <c:y val="5.3130116308384379E-2"/>
          <c:w val="0.87281289836788878"/>
          <c:h val="0.85108414144546607"/>
        </c:manualLayout>
      </c:layout>
      <c:barChart>
        <c:barDir val="bar"/>
        <c:grouping val="clustered"/>
        <c:varyColors val="0"/>
        <c:ser>
          <c:idx val="0"/>
          <c:order val="0"/>
          <c:tx>
            <c:strRef>
              <c:f>'結果 (2-3SDGs)'!$AM$40</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82B2-43B6-89B1-C9550ADB629B}"/>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82B2-43B6-89B1-C9550ADB629B}"/>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82B2-43B6-89B1-C9550ADB629B}"/>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82B2-43B6-89B1-C9550ADB629B}"/>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82B2-43B6-89B1-C9550ADB629B}"/>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82B2-43B6-89B1-C9550ADB629B}"/>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82B2-43B6-89B1-C9550ADB629B}"/>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82B2-43B6-89B1-C9550ADB629B}"/>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82B2-43B6-89B1-C9550ADB629B}"/>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82B2-43B6-89B1-C9550ADB629B}"/>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82B2-43B6-89B1-C9550ADB629B}"/>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82B2-43B6-89B1-C9550ADB629B}"/>
              </c:ext>
            </c:extLst>
          </c:dPt>
          <c:cat>
            <c:strRef>
              <c:f>'結果 (2-3SDGs)'!$AL$41:$AL$52</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 (2-3SDGs)'!$AM$41:$AM$52</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82B2-43B6-89B1-C9550ADB629B}"/>
            </c:ext>
          </c:extLst>
        </c:ser>
        <c:dLbls>
          <c:showLegendKey val="0"/>
          <c:showVal val="0"/>
          <c:showCatName val="0"/>
          <c:showSerName val="0"/>
          <c:showPercent val="0"/>
          <c:showBubbleSize val="0"/>
        </c:dLbls>
        <c:gapWidth val="0"/>
        <c:axId val="141479712"/>
        <c:axId val="141478928"/>
      </c:barChart>
      <c:catAx>
        <c:axId val="141479712"/>
        <c:scaling>
          <c:orientation val="maxMin"/>
        </c:scaling>
        <c:delete val="1"/>
        <c:axPos val="l"/>
        <c:numFmt formatCode="General" sourceLinked="1"/>
        <c:majorTickMark val="none"/>
        <c:minorTickMark val="none"/>
        <c:tickLblPos val="nextTo"/>
        <c:crossAx val="141478928"/>
        <c:crosses val="autoZero"/>
        <c:auto val="1"/>
        <c:lblAlgn val="ctr"/>
        <c:lblOffset val="100"/>
        <c:noMultiLvlLbl val="0"/>
      </c:catAx>
      <c:valAx>
        <c:axId val="141478928"/>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141479712"/>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0884319827424E-2"/>
          <c:y val="8.5308254286355578E-2"/>
          <c:w val="0.90786058025507776"/>
          <c:h val="0.72985950889437634"/>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603-4E36-ADD6-FDE1B697CF7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603-4E36-ADD6-FDE1B697CF7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603-4E36-ADD6-FDE1B697CF7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A603-4E36-ADD6-FDE1B697CF7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'結果（2-3レーダー）'!$R$59:$R$61</c:f>
              <c:strCache>
                <c:ptCount val="3"/>
                <c:pt idx="0">
                  <c:v>総合的な省エネ</c:v>
                </c:pt>
                <c:pt idx="1">
                  <c:v>水の節約</c:v>
                </c:pt>
                <c:pt idx="2">
                  <c:v>維持管理と運用の工夫</c:v>
                </c:pt>
              </c:strCache>
            </c:strRef>
          </c:cat>
          <c:val>
            <c:numRef>
              <c:f>'結果（2-3レーダー）'!$S$59:$S$61</c:f>
              <c:numCache>
                <c:formatCode>#,##0.0;[Red]\-#,##0.0</c:formatCode>
                <c:ptCount val="3"/>
                <c:pt idx="0">
                  <c:v>4</c:v>
                </c:pt>
                <c:pt idx="1">
                  <c:v>3.7</c:v>
                </c:pt>
                <c:pt idx="2">
                  <c:v>4</c:v>
                </c:pt>
              </c:numCache>
            </c:numRef>
          </c:val>
          <c:extLst>
            <c:ext xmlns:c16="http://schemas.microsoft.com/office/drawing/2014/chart" uri="{C3380CC4-5D6E-409C-BE32-E72D297353CC}">
              <c16:uniqueId val="{00000004-86E6-4AE6-9CE5-39B1067D58F6}"/>
            </c:ext>
          </c:extLst>
        </c:ser>
        <c:dLbls>
          <c:showLegendKey val="0"/>
          <c:showVal val="0"/>
          <c:showCatName val="0"/>
          <c:showSerName val="0"/>
          <c:showPercent val="0"/>
          <c:showBubbleSize val="0"/>
        </c:dLbls>
        <c:gapWidth val="80"/>
        <c:axId val="298824256"/>
        <c:axId val="298829352"/>
      </c:barChart>
      <c:catAx>
        <c:axId val="298824256"/>
        <c:scaling>
          <c:orientation val="minMax"/>
        </c:scaling>
        <c:delete val="0"/>
        <c:axPos val="b"/>
        <c:numFmt formatCode="General" sourceLinked="1"/>
        <c:majorTickMark val="none"/>
        <c:minorTickMark val="none"/>
        <c:tickLblPos val="none"/>
        <c:spPr>
          <a:ln w="3175">
            <a:solidFill>
              <a:srgbClr val="000000"/>
            </a:solidFill>
            <a:prstDash val="solid"/>
          </a:ln>
        </c:spPr>
        <c:crossAx val="298829352"/>
        <c:crossesAt val="0"/>
        <c:auto val="1"/>
        <c:lblAlgn val="ctr"/>
        <c:lblOffset val="100"/>
        <c:tickMarkSkip val="1"/>
        <c:noMultiLvlLbl val="0"/>
      </c:catAx>
      <c:valAx>
        <c:axId val="298829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4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8636112007146E-2"/>
          <c:y val="8.415846669925918E-2"/>
          <c:w val="0.88709997627495862"/>
          <c:h val="0.7722776944167305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A49-4210-B8A5-72829BB60CA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A49-4210-B8A5-72829BB60CA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A49-4210-B8A5-72829BB60CA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6A49-4210-B8A5-72829BB60CA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'結果（2-3レーダー）'!$R$49:$R$52</c:f>
              <c:strCache>
                <c:ptCount val="4"/>
                <c:pt idx="0">
                  <c:v>暑さ・寒さ</c:v>
                </c:pt>
                <c:pt idx="1">
                  <c:v>健康と安全・安心</c:v>
                </c:pt>
                <c:pt idx="2">
                  <c:v>明るさ</c:v>
                </c:pt>
                <c:pt idx="3">
                  <c:v>静かさ</c:v>
                </c:pt>
              </c:strCache>
            </c:strRef>
          </c:cat>
          <c:val>
            <c:numRef>
              <c:f>'結果（2-3レーダー）'!$S$49:$S$52</c:f>
              <c:numCache>
                <c:formatCode>0.0;_Ā</c:formatCode>
                <c:ptCount val="4"/>
                <c:pt idx="0">
                  <c:v>4.5999999999999996</c:v>
                </c:pt>
                <c:pt idx="1">
                  <c:v>4.2</c:v>
                </c:pt>
                <c:pt idx="2">
                  <c:v>5</c:v>
                </c:pt>
                <c:pt idx="3">
                  <c:v>5</c:v>
                </c:pt>
              </c:numCache>
            </c:numRef>
          </c:val>
          <c:extLst>
            <c:ext xmlns:c16="http://schemas.microsoft.com/office/drawing/2014/chart" uri="{C3380CC4-5D6E-409C-BE32-E72D297353CC}">
              <c16:uniqueId val="{00000004-C3F6-4B52-963F-929C40453F37}"/>
            </c:ext>
          </c:extLst>
        </c:ser>
        <c:dLbls>
          <c:showLegendKey val="0"/>
          <c:showVal val="0"/>
          <c:showCatName val="0"/>
          <c:showSerName val="0"/>
          <c:showPercent val="0"/>
          <c:showBubbleSize val="0"/>
        </c:dLbls>
        <c:gapWidth val="40"/>
        <c:axId val="298827000"/>
        <c:axId val="298824648"/>
      </c:barChart>
      <c:catAx>
        <c:axId val="298827000"/>
        <c:scaling>
          <c:orientation val="minMax"/>
        </c:scaling>
        <c:delete val="0"/>
        <c:axPos val="b"/>
        <c:numFmt formatCode="General" sourceLinked="1"/>
        <c:majorTickMark val="none"/>
        <c:minorTickMark val="none"/>
        <c:tickLblPos val="none"/>
        <c:spPr>
          <a:ln w="3175">
            <a:solidFill>
              <a:srgbClr val="000000"/>
            </a:solidFill>
            <a:prstDash val="solid"/>
          </a:ln>
        </c:spPr>
        <c:crossAx val="298824648"/>
        <c:crossesAt val="0"/>
        <c:auto val="1"/>
        <c:lblAlgn val="ctr"/>
        <c:lblOffset val="100"/>
        <c:tickMarkSkip val="1"/>
        <c:noMultiLvlLbl val="0"/>
      </c:catAx>
      <c:valAx>
        <c:axId val="2988246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7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71921606278969E-2"/>
          <c:y val="7.8704326409555908E-2"/>
          <c:w val="0.90027220773204142"/>
          <c:h val="0.7314872689829311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A4B-4FBC-A3EC-8C709BFADD6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A4B-4FBC-A3EC-8C709BFADD6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A4B-4FBC-A3EC-8C709BFADD6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'結果（2-3レーダー）'!$X$49:$X$52</c:f>
              <c:strCache>
                <c:ptCount val="4"/>
                <c:pt idx="0">
                  <c:v>まちなみ・景観への配慮</c:v>
                </c:pt>
                <c:pt idx="1">
                  <c:v>生物資源の保全と創出</c:v>
                </c:pt>
                <c:pt idx="2">
                  <c:v>地域の安全・安心</c:v>
                </c:pt>
                <c:pt idx="3">
                  <c:v>地域の資源の活用と住文化の継承</c:v>
                </c:pt>
              </c:strCache>
            </c:strRef>
          </c:cat>
          <c:val>
            <c:numRef>
              <c:f>'結果（2-3レーダー）'!$Y$49:$Y$52</c:f>
              <c:numCache>
                <c:formatCode>0.0_ </c:formatCode>
                <c:ptCount val="4"/>
                <c:pt idx="0">
                  <c:v>5</c:v>
                </c:pt>
                <c:pt idx="1">
                  <c:v>2.2999999999999998</c:v>
                </c:pt>
                <c:pt idx="2">
                  <c:v>5</c:v>
                </c:pt>
                <c:pt idx="3">
                  <c:v>3</c:v>
                </c:pt>
              </c:numCache>
            </c:numRef>
          </c:val>
          <c:extLst>
            <c:ext xmlns:c16="http://schemas.microsoft.com/office/drawing/2014/chart" uri="{C3380CC4-5D6E-409C-BE32-E72D297353CC}">
              <c16:uniqueId val="{00000003-85A4-4FFC-9C10-5E9FE9356CA0}"/>
            </c:ext>
          </c:extLst>
        </c:ser>
        <c:dLbls>
          <c:showLegendKey val="0"/>
          <c:showVal val="0"/>
          <c:showCatName val="0"/>
          <c:showSerName val="0"/>
          <c:showPercent val="0"/>
          <c:showBubbleSize val="0"/>
        </c:dLbls>
        <c:gapWidth val="40"/>
        <c:axId val="298828568"/>
        <c:axId val="298829744"/>
      </c:barChart>
      <c:catAx>
        <c:axId val="298828568"/>
        <c:scaling>
          <c:orientation val="minMax"/>
        </c:scaling>
        <c:delete val="0"/>
        <c:axPos val="b"/>
        <c:numFmt formatCode="General" sourceLinked="1"/>
        <c:majorTickMark val="none"/>
        <c:minorTickMark val="none"/>
        <c:tickLblPos val="none"/>
        <c:spPr>
          <a:ln w="3175">
            <a:solidFill>
              <a:srgbClr val="000000"/>
            </a:solidFill>
            <a:prstDash val="solid"/>
          </a:ln>
        </c:spPr>
        <c:crossAx val="298829744"/>
        <c:crossesAt val="0"/>
        <c:auto val="1"/>
        <c:lblAlgn val="ctr"/>
        <c:lblOffset val="100"/>
        <c:tickMarkSkip val="1"/>
        <c:noMultiLvlLbl val="0"/>
      </c:catAx>
      <c:valAx>
        <c:axId val="2988297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85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188956283706189E-2"/>
          <c:w val="0.9098403139422957"/>
          <c:h val="0.735851598838716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A-4199-BB1C-DF08E2AC1A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A-4199-BB1C-DF08E2AC1A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A-4199-BB1C-DF08E2AC1A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'結果（2-3レーダー）'!$U$49:$U$51</c:f>
              <c:strCache>
                <c:ptCount val="3"/>
                <c:pt idx="0">
                  <c:v>長寿命に対する基本性能</c:v>
                </c:pt>
                <c:pt idx="1">
                  <c:v>維持管理</c:v>
                </c:pt>
                <c:pt idx="2">
                  <c:v>機能性</c:v>
                </c:pt>
              </c:strCache>
            </c:strRef>
          </c:cat>
          <c:val>
            <c:numRef>
              <c:f>'結果（2-3レーダー）'!$V$49:$V$51</c:f>
              <c:numCache>
                <c:formatCode>0.0_ </c:formatCode>
                <c:ptCount val="3"/>
                <c:pt idx="0">
                  <c:v>3.7</c:v>
                </c:pt>
                <c:pt idx="1">
                  <c:v>3.7</c:v>
                </c:pt>
                <c:pt idx="2">
                  <c:v>4.5999999999999996</c:v>
                </c:pt>
              </c:numCache>
            </c:numRef>
          </c:val>
          <c:extLst>
            <c:ext xmlns:c16="http://schemas.microsoft.com/office/drawing/2014/chart" uri="{C3380CC4-5D6E-409C-BE32-E72D297353CC}">
              <c16:uniqueId val="{00000003-5471-448A-A2B0-925B8FEABF23}"/>
            </c:ext>
          </c:extLst>
        </c:ser>
        <c:dLbls>
          <c:showLegendKey val="0"/>
          <c:showVal val="0"/>
          <c:showCatName val="0"/>
          <c:showSerName val="0"/>
          <c:showPercent val="0"/>
          <c:showBubbleSize val="0"/>
        </c:dLbls>
        <c:gapWidth val="80"/>
        <c:axId val="298827784"/>
        <c:axId val="298828960"/>
      </c:barChart>
      <c:catAx>
        <c:axId val="298827784"/>
        <c:scaling>
          <c:orientation val="minMax"/>
        </c:scaling>
        <c:delete val="0"/>
        <c:axPos val="b"/>
        <c:numFmt formatCode="General" sourceLinked="1"/>
        <c:majorTickMark val="none"/>
        <c:minorTickMark val="none"/>
        <c:tickLblPos val="none"/>
        <c:spPr>
          <a:ln w="3175">
            <a:solidFill>
              <a:srgbClr val="000000"/>
            </a:solidFill>
            <a:prstDash val="solid"/>
          </a:ln>
        </c:spPr>
        <c:crossAx val="298828960"/>
        <c:crossesAt val="0"/>
        <c:auto val="1"/>
        <c:lblAlgn val="ctr"/>
        <c:lblOffset val="100"/>
        <c:tickMarkSkip val="1"/>
        <c:noMultiLvlLbl val="0"/>
      </c:catAx>
      <c:valAx>
        <c:axId val="298828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77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12195121951209"/>
          <c:y val="9.7276264591439704E-2"/>
          <c:w val="0.70383275261324063"/>
          <c:h val="0.7042801556420234"/>
        </c:manualLayout>
      </c:layout>
      <c:areaChart>
        <c:grouping val="standard"/>
        <c:varyColors val="0"/>
        <c:ser>
          <c:idx val="4"/>
          <c:order val="2"/>
          <c:tx>
            <c:strRef>
              <c:f>'結果（2-3レーダー）'!$S$29</c:f>
              <c:strCache>
                <c:ptCount val="1"/>
                <c:pt idx="0">
                  <c:v>S</c:v>
                </c:pt>
              </c:strCache>
            </c:strRef>
          </c:tx>
          <c:spPr>
            <a:pattFill prst="pct70">
              <a:fgClr>
                <a:srgbClr val="339966"/>
              </a:fgClr>
              <a:bgClr>
                <a:srgbClr val="FFFFFF"/>
              </a:bgClr>
            </a:pattFill>
            <a:ln w="12700">
              <a:solidFill>
                <a:srgbClr val="000000"/>
              </a:solidFill>
              <a:prstDash val="solid"/>
            </a:ln>
          </c:spPr>
          <c:cat>
            <c:numRef>
              <c:f>'結果（2-3レーダー）'!$T$23:$U$23</c:f>
              <c:numCache>
                <c:formatCode>General</c:formatCode>
                <c:ptCount val="2"/>
                <c:pt idx="0" formatCode="#,##0_);[Red]\(#,##0\)">
                  <c:v>27.378125000000008</c:v>
                </c:pt>
                <c:pt idx="1">
                  <c:v>0</c:v>
                </c:pt>
              </c:numCache>
            </c:numRef>
          </c:cat>
          <c:val>
            <c:numRef>
              <c:f>'結果（2-3レーダー）'!$T$29:$Z$29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7FB-4985-BB3A-1611CEAAB10C}"/>
            </c:ext>
          </c:extLst>
        </c:ser>
        <c:ser>
          <c:idx val="3"/>
          <c:order val="3"/>
          <c:tx>
            <c:strRef>
              <c:f>'結果（2-3レーダー）'!$S$30</c:f>
              <c:strCache>
                <c:ptCount val="1"/>
                <c:pt idx="0">
                  <c:v>A</c:v>
                </c:pt>
              </c:strCache>
            </c:strRef>
          </c:tx>
          <c:spPr>
            <a:pattFill prst="pct90">
              <a:fgClr>
                <a:srgbClr val="CCFFCC"/>
              </a:fgClr>
              <a:bgClr>
                <a:srgbClr val="FFFFFF"/>
              </a:bgClr>
            </a:pattFill>
            <a:ln w="12700">
              <a:solidFill>
                <a:srgbClr val="000000"/>
              </a:solidFill>
              <a:prstDash val="solid"/>
            </a:ln>
          </c:spPr>
          <c:cat>
            <c:numRef>
              <c:f>'結果（2-3レーダー）'!$T$23:$U$23</c:f>
              <c:numCache>
                <c:formatCode>General</c:formatCode>
                <c:ptCount val="2"/>
                <c:pt idx="0" formatCode="#,##0_);[Red]\(#,##0\)">
                  <c:v>27.378125000000008</c:v>
                </c:pt>
                <c:pt idx="1">
                  <c:v>0</c:v>
                </c:pt>
              </c:numCache>
            </c:numRef>
          </c:cat>
          <c:val>
            <c:numRef>
              <c:f>'結果（2-3レーダー）'!$T$30:$Z$30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7FB-4985-BB3A-1611CEAAB10C}"/>
            </c:ext>
          </c:extLst>
        </c:ser>
        <c:ser>
          <c:idx val="2"/>
          <c:order val="4"/>
          <c:tx>
            <c:strRef>
              <c:f>'結果（2-3レーダー）'!$S$31</c:f>
              <c:strCache>
                <c:ptCount val="1"/>
                <c:pt idx="0">
                  <c:v>B+</c:v>
                </c:pt>
              </c:strCache>
            </c:strRef>
          </c:tx>
          <c:spPr>
            <a:solidFill>
              <a:srgbClr val="FFFFCC"/>
            </a:solidFill>
            <a:ln w="12700">
              <a:solidFill>
                <a:srgbClr val="000000"/>
              </a:solidFill>
              <a:prstDash val="solid"/>
            </a:ln>
          </c:spPr>
          <c:cat>
            <c:numRef>
              <c:f>'結果（2-3レーダー）'!$T$23:$U$23</c:f>
              <c:numCache>
                <c:formatCode>General</c:formatCode>
                <c:ptCount val="2"/>
                <c:pt idx="0" formatCode="#,##0_);[Red]\(#,##0\)">
                  <c:v>27.378125000000008</c:v>
                </c:pt>
                <c:pt idx="1">
                  <c:v>0</c:v>
                </c:pt>
              </c:numCache>
            </c:numRef>
          </c:cat>
          <c:val>
            <c:numRef>
              <c:f>'結果（2-3レーダー）'!$T$31:$Z$31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7FB-4985-BB3A-1611CEAAB10C}"/>
            </c:ext>
          </c:extLst>
        </c:ser>
        <c:ser>
          <c:idx val="1"/>
          <c:order val="5"/>
          <c:tx>
            <c:strRef>
              <c:f>'結果（2-3レーダー）'!$S$33</c:f>
              <c:strCache>
                <c:ptCount val="1"/>
                <c:pt idx="0">
                  <c:v>B-</c:v>
                </c:pt>
              </c:strCache>
            </c:strRef>
          </c:tx>
          <c:spPr>
            <a:solidFill>
              <a:srgbClr val="FFFFFF"/>
            </a:solidFill>
            <a:ln w="12700">
              <a:solidFill>
                <a:srgbClr val="000000"/>
              </a:solidFill>
              <a:prstDash val="solid"/>
            </a:ln>
          </c:spPr>
          <c:cat>
            <c:numRef>
              <c:f>'結果（2-3レーダー）'!$T$23:$U$23</c:f>
              <c:numCache>
                <c:formatCode>General</c:formatCode>
                <c:ptCount val="2"/>
                <c:pt idx="0" formatCode="#,##0_);[Red]\(#,##0\)">
                  <c:v>27.378125000000008</c:v>
                </c:pt>
                <c:pt idx="1">
                  <c:v>0</c:v>
                </c:pt>
              </c:numCache>
            </c:numRef>
          </c:cat>
          <c:val>
            <c:numRef>
              <c:f>'結果（2-3レーダー）'!$T$33:$Z$33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7FB-4985-BB3A-1611CEAAB10C}"/>
            </c:ext>
          </c:extLst>
        </c:ser>
        <c:ser>
          <c:idx val="0"/>
          <c:order val="7"/>
          <c:tx>
            <c:strRef>
              <c:f>'結果（2-3レーダー）'!$S$32</c:f>
              <c:strCache>
                <c:ptCount val="1"/>
                <c:pt idx="0">
                  <c:v>B</c:v>
                </c:pt>
              </c:strCache>
            </c:strRef>
          </c:tx>
          <c:spPr>
            <a:noFill/>
            <a:ln w="12700">
              <a:solidFill>
                <a:srgbClr val="000000"/>
              </a:solidFill>
              <a:prstDash val="solid"/>
            </a:ln>
          </c:spPr>
          <c:cat>
            <c:numRef>
              <c:f>'結果（2-3レーダー）'!$T$23:$U$23</c:f>
              <c:numCache>
                <c:formatCode>General</c:formatCode>
                <c:ptCount val="2"/>
                <c:pt idx="0" formatCode="#,##0_);[Red]\(#,##0\)">
                  <c:v>27.378125000000008</c:v>
                </c:pt>
                <c:pt idx="1">
                  <c:v>0</c:v>
                </c:pt>
              </c:numCache>
            </c:numRef>
          </c:cat>
          <c:val>
            <c:numRef>
              <c:f>'結果（2-3レーダー）'!$T$32:$Z$32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7FB-4985-BB3A-1611CEAAB10C}"/>
            </c:ext>
          </c:extLst>
        </c:ser>
        <c:dLbls>
          <c:showLegendKey val="0"/>
          <c:showVal val="0"/>
          <c:showCatName val="0"/>
          <c:showSerName val="0"/>
          <c:showPercent val="0"/>
          <c:showBubbleSize val="0"/>
        </c:dLbls>
        <c:axId val="298826608"/>
        <c:axId val="298825432"/>
      </c:areaChart>
      <c:scatterChart>
        <c:scatterStyle val="lineMarker"/>
        <c:varyColors val="0"/>
        <c:ser>
          <c:idx val="7"/>
          <c:order val="0"/>
          <c:spPr>
            <a:ln w="25400">
              <a:solidFill>
                <a:srgbClr val="008000"/>
              </a:solidFill>
              <a:prstDash val="sysDash"/>
            </a:ln>
          </c:spPr>
          <c:marker>
            <c:symbol val="none"/>
          </c:marker>
          <c:dPt>
            <c:idx val="1"/>
            <c:bubble3D val="0"/>
            <c:spPr>
              <a:ln w="28575">
                <a:noFill/>
              </a:ln>
            </c:spPr>
            <c:extLst>
              <c:ext xmlns:c16="http://schemas.microsoft.com/office/drawing/2014/chart" uri="{C3380CC4-5D6E-409C-BE32-E72D297353CC}">
                <c16:uniqueId val="{00000006-F7FB-4985-BB3A-1611CEAAB10C}"/>
              </c:ext>
            </c:extLst>
          </c:dPt>
          <c:dLbls>
            <c:dLbl>
              <c:idx val="2"/>
              <c:layout>
                <c:manualLayout>
                  <c:x val="-4.9675036199420524E-3"/>
                  <c:y val="0.28735736334297823"/>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FB-4985-BB3A-1611CEAAB10C}"/>
                </c:ext>
              </c:extLst>
            </c:dLbl>
            <c:dLbl>
              <c:idx val="3"/>
              <c:layout>
                <c:manualLayout>
                  <c:x val="-7.3840383222824966E-3"/>
                  <c:y val="-3.552788476683830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FB-4985-BB3A-1611CEAAB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'結果（2-3レーダー）'!$R$25:$U$25</c:f>
              <c:numCache>
                <c:formatCode>General</c:formatCode>
                <c:ptCount val="4"/>
                <c:pt idx="0">
                  <c:v>0</c:v>
                </c:pt>
                <c:pt idx="1">
                  <c:v>27.378125000000008</c:v>
                </c:pt>
                <c:pt idx="2" formatCode="#,##0_);[Red]\(#,##0\)">
                  <c:v>27.378125000000008</c:v>
                </c:pt>
                <c:pt idx="3">
                  <c:v>0.1</c:v>
                </c:pt>
              </c:numCache>
            </c:numRef>
          </c:xVal>
          <c:yVal>
            <c:numRef>
              <c:f>'結果（2-3レーダー）'!$R$26:$U$26</c:f>
              <c:numCache>
                <c:formatCode>General</c:formatCode>
                <c:ptCount val="4"/>
                <c:pt idx="0">
                  <c:v>0</c:v>
                </c:pt>
                <c:pt idx="1">
                  <c:v>0</c:v>
                </c:pt>
                <c:pt idx="2">
                  <c:v>80.243749999999991</c:v>
                </c:pt>
                <c:pt idx="3" formatCode="#,##0_);[Red]\(#,##0\)">
                  <c:v>80.243749999999991</c:v>
                </c:pt>
              </c:numCache>
            </c:numRef>
          </c:yVal>
          <c:smooth val="0"/>
          <c:extLst>
            <c:ext xmlns:c16="http://schemas.microsoft.com/office/drawing/2014/chart" uri="{C3380CC4-5D6E-409C-BE32-E72D297353CC}">
              <c16:uniqueId val="{00000009-F7FB-4985-BB3A-1611CEAAB10C}"/>
            </c:ext>
          </c:extLst>
        </c:ser>
        <c:ser>
          <c:idx val="8"/>
          <c:order val="1"/>
          <c:spPr>
            <a:ln w="28575">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7FB-4985-BB3A-1611CEAAB10C}"/>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7FB-4985-BB3A-1611CEAAB10C}"/>
              </c:ext>
            </c:extLst>
          </c:dPt>
          <c:xVal>
            <c:numRef>
              <c:f>'結果（2-3レーダー）'!$R$25:$U$25</c:f>
              <c:numCache>
                <c:formatCode>General</c:formatCode>
                <c:ptCount val="4"/>
                <c:pt idx="0">
                  <c:v>0</c:v>
                </c:pt>
                <c:pt idx="1">
                  <c:v>27.378125000000008</c:v>
                </c:pt>
                <c:pt idx="2" formatCode="#,##0_);[Red]\(#,##0\)">
                  <c:v>27.378125000000008</c:v>
                </c:pt>
                <c:pt idx="3">
                  <c:v>0.1</c:v>
                </c:pt>
              </c:numCache>
            </c:numRef>
          </c:xVal>
          <c:yVal>
            <c:numRef>
              <c:f>'結果（2-3レーダー）'!$R$26:$U$26</c:f>
              <c:numCache>
                <c:formatCode>General</c:formatCode>
                <c:ptCount val="4"/>
                <c:pt idx="0">
                  <c:v>0</c:v>
                </c:pt>
                <c:pt idx="1">
                  <c:v>0</c:v>
                </c:pt>
                <c:pt idx="2">
                  <c:v>80.243749999999991</c:v>
                </c:pt>
                <c:pt idx="3" formatCode="#,##0_);[Red]\(#,##0\)">
                  <c:v>80.243749999999991</c:v>
                </c:pt>
              </c:numCache>
            </c:numRef>
          </c:yVal>
          <c:smooth val="0"/>
          <c:extLst>
            <c:ext xmlns:c16="http://schemas.microsoft.com/office/drawing/2014/chart" uri="{C3380CC4-5D6E-409C-BE32-E72D297353CC}">
              <c16:uniqueId val="{0000000C-F7FB-4985-BB3A-1611CEAAB10C}"/>
            </c:ext>
          </c:extLst>
        </c:ser>
        <c:ser>
          <c:idx val="5"/>
          <c:order val="6"/>
          <c:tx>
            <c:strRef>
              <c:f>'結果（2-3レーダー）'!$S$13</c:f>
              <c:strCache>
                <c:ptCount val="1"/>
                <c:pt idx="0">
                  <c:v>2.9</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7FB-4985-BB3A-1611CEAAB10C}"/>
              </c:ext>
            </c:extLst>
          </c:dPt>
          <c:dPt>
            <c:idx val="1"/>
            <c:marker>
              <c:symbol val="triangle"/>
              <c:size val="20"/>
              <c:spPr>
                <a:solidFill>
                  <a:srgbClr val="339966"/>
                </a:solidFill>
                <a:ln>
                  <a:solidFill>
                    <a:srgbClr val="000000"/>
                  </a:solidFill>
                  <a:prstDash val="solid"/>
                </a:ln>
              </c:spPr>
            </c:marker>
            <c:bubble3D val="0"/>
            <c:spPr>
              <a:ln w="28575">
                <a:noFill/>
              </a:ln>
            </c:spPr>
            <c:extLst>
              <c:ext xmlns:c16="http://schemas.microsoft.com/office/drawing/2014/chart" uri="{C3380CC4-5D6E-409C-BE32-E72D297353CC}">
                <c16:uniqueId val="{0000000F-F7FB-4985-BB3A-1611CEAAB10C}"/>
              </c:ext>
            </c:extLst>
          </c:dPt>
          <c:dPt>
            <c:idx val="2"/>
            <c:bubble3D val="0"/>
            <c:spPr>
              <a:ln w="38100">
                <a:solidFill>
                  <a:srgbClr val="008000"/>
                </a:solidFill>
                <a:prstDash val="solid"/>
              </a:ln>
            </c:spPr>
            <c:extLst>
              <c:ext xmlns:c16="http://schemas.microsoft.com/office/drawing/2014/chart" uri="{C3380CC4-5D6E-409C-BE32-E72D297353CC}">
                <c16:uniqueId val="{00000011-F7FB-4985-BB3A-1611CEAAB10C}"/>
              </c:ext>
            </c:extLst>
          </c:dPt>
          <c:xVal>
            <c:numRef>
              <c:f>'結果（2-3レーダー）'!$S$23:$U$23</c:f>
              <c:numCache>
                <c:formatCode>#,##0_);[Red]\(#,##0\)</c:formatCode>
                <c:ptCount val="3"/>
                <c:pt idx="1">
                  <c:v>27.378125000000008</c:v>
                </c:pt>
                <c:pt idx="2" formatCode="General">
                  <c:v>0</c:v>
                </c:pt>
              </c:numCache>
            </c:numRef>
          </c:xVal>
          <c:yVal>
            <c:numRef>
              <c:f>'結果（2-3レーダー）'!$S$24:$U$24</c:f>
              <c:numCache>
                <c:formatCode>#,##0_);[Red]\(#,##0\)</c:formatCode>
                <c:ptCount val="3"/>
                <c:pt idx="1">
                  <c:v>80.243749999999991</c:v>
                </c:pt>
                <c:pt idx="2" formatCode="General">
                  <c:v>0</c:v>
                </c:pt>
              </c:numCache>
            </c:numRef>
          </c:yVal>
          <c:smooth val="0"/>
          <c:extLst>
            <c:ext xmlns:c16="http://schemas.microsoft.com/office/drawing/2014/chart" uri="{C3380CC4-5D6E-409C-BE32-E72D297353CC}">
              <c16:uniqueId val="{00000012-F7FB-4985-BB3A-1611CEAAB10C}"/>
            </c:ext>
          </c:extLst>
        </c:ser>
        <c:dLbls>
          <c:showLegendKey val="0"/>
          <c:showVal val="0"/>
          <c:showCatName val="0"/>
          <c:showSerName val="0"/>
          <c:showPercent val="0"/>
          <c:showBubbleSize val="0"/>
        </c:dLbls>
        <c:axId val="298825824"/>
        <c:axId val="298830528"/>
      </c:scatterChart>
      <c:catAx>
        <c:axId val="298826608"/>
        <c:scaling>
          <c:orientation val="minMax"/>
        </c:scaling>
        <c:delete val="0"/>
        <c:axPos val="b"/>
        <c:numFmt formatCode="#,##0_);[Red]\(#,##0\)" sourceLinked="1"/>
        <c:majorTickMark val="none"/>
        <c:minorTickMark val="none"/>
        <c:tickLblPos val="none"/>
        <c:spPr>
          <a:ln w="3175">
            <a:solidFill>
              <a:srgbClr val="000000"/>
            </a:solidFill>
            <a:prstDash val="solid"/>
          </a:ln>
        </c:spPr>
        <c:crossAx val="298825432"/>
        <c:crosses val="autoZero"/>
        <c:auto val="0"/>
        <c:lblAlgn val="ctr"/>
        <c:lblOffset val="100"/>
        <c:tickLblSkip val="50"/>
        <c:tickMarkSkip val="50"/>
        <c:noMultiLvlLbl val="0"/>
      </c:catAx>
      <c:valAx>
        <c:axId val="29882543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8826608"/>
        <c:crosses val="autoZero"/>
        <c:crossBetween val="midCat"/>
        <c:majorUnit val="50"/>
      </c:valAx>
      <c:valAx>
        <c:axId val="29882582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8830528"/>
        <c:crosses val="max"/>
        <c:crossBetween val="midCat"/>
        <c:majorUnit val="50"/>
      </c:valAx>
      <c:valAx>
        <c:axId val="29883052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9882582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29266483032377E-2"/>
          <c:y val="7.7784224340378558E-2"/>
          <c:w val="0.93266299933909191"/>
          <c:h val="0.89156626506024006"/>
        </c:manualLayout>
      </c:layout>
      <c:barChart>
        <c:barDir val="bar"/>
        <c:grouping val="percentStacked"/>
        <c:varyColors val="0"/>
        <c:ser>
          <c:idx val="0"/>
          <c:order val="0"/>
          <c:tx>
            <c:strRef>
              <c:f>'結果（2-3レーダー）'!$S$16</c:f>
              <c:strCache>
                <c:ptCount val="1"/>
                <c:pt idx="0">
                  <c:v>0.8</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'結果（2-3レーダー）'!$R$16</c:f>
              <c:strCache>
                <c:ptCount val="1"/>
                <c:pt idx="0">
                  <c:v>Rank(red star)</c:v>
                </c:pt>
              </c:strCache>
            </c:strRef>
          </c:cat>
          <c:val>
            <c:numRef>
              <c:f>'結果（2-3レーダー）'!$S$16</c:f>
              <c:numCache>
                <c:formatCode>#,##0.0;[Red]\-#,##0.0</c:formatCode>
                <c:ptCount val="1"/>
                <c:pt idx="0">
                  <c:v>0.8</c:v>
                </c:pt>
              </c:numCache>
            </c:numRef>
          </c:val>
          <c:extLst>
            <c:ext xmlns:c16="http://schemas.microsoft.com/office/drawing/2014/chart" uri="{C3380CC4-5D6E-409C-BE32-E72D297353CC}">
              <c16:uniqueId val="{00000000-5CA2-4C2A-882E-8D0B94C045FD}"/>
            </c:ext>
          </c:extLst>
        </c:ser>
        <c:ser>
          <c:idx val="1"/>
          <c:order val="1"/>
          <c:tx>
            <c:strRef>
              <c:f>'結果（2-3レーダー）'!$S$17</c:f>
              <c:strCache>
                <c:ptCount val="1"/>
                <c:pt idx="0">
                  <c:v>0.2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2-5CA2-4C2A-882E-8D0B94C045FD}"/>
              </c:ext>
            </c:extLst>
          </c:dPt>
          <c:cat>
            <c:strRef>
              <c:f>'結果（2-3レーダー）'!$R$16</c:f>
              <c:strCache>
                <c:ptCount val="1"/>
                <c:pt idx="0">
                  <c:v>Rank(red star)</c:v>
                </c:pt>
              </c:strCache>
            </c:strRef>
          </c:cat>
          <c:val>
            <c:numRef>
              <c:f>'結果（2-3レーダー）'!$S$17</c:f>
              <c:numCache>
                <c:formatCode>#,##0.0;[Red]\-#,##0.0</c:formatCode>
                <c:ptCount val="1"/>
                <c:pt idx="0">
                  <c:v>0.19999999999999996</c:v>
                </c:pt>
              </c:numCache>
            </c:numRef>
          </c:val>
          <c:extLst>
            <c:ext xmlns:c16="http://schemas.microsoft.com/office/drawing/2014/chart" uri="{C3380CC4-5D6E-409C-BE32-E72D297353CC}">
              <c16:uniqueId val="{00000003-5CA2-4C2A-882E-8D0B94C045FD}"/>
            </c:ext>
          </c:extLst>
        </c:ser>
        <c:dLbls>
          <c:showLegendKey val="0"/>
          <c:showVal val="0"/>
          <c:showCatName val="0"/>
          <c:showSerName val="0"/>
          <c:showPercent val="0"/>
          <c:showBubbleSize val="0"/>
        </c:dLbls>
        <c:gapWidth val="50"/>
        <c:overlap val="100"/>
        <c:axId val="298823472"/>
        <c:axId val="298827392"/>
      </c:barChart>
      <c:catAx>
        <c:axId val="298823472"/>
        <c:scaling>
          <c:orientation val="minMax"/>
        </c:scaling>
        <c:delete val="1"/>
        <c:axPos val="l"/>
        <c:numFmt formatCode="General" sourceLinked="1"/>
        <c:majorTickMark val="out"/>
        <c:minorTickMark val="none"/>
        <c:tickLblPos val="none"/>
        <c:crossAx val="298827392"/>
        <c:crosses val="autoZero"/>
        <c:auto val="1"/>
        <c:lblAlgn val="ctr"/>
        <c:lblOffset val="100"/>
        <c:noMultiLvlLbl val="0"/>
      </c:catAx>
      <c:valAx>
        <c:axId val="298827392"/>
        <c:scaling>
          <c:orientation val="minMax"/>
          <c:max val="1"/>
        </c:scaling>
        <c:delete val="1"/>
        <c:axPos val="b"/>
        <c:numFmt formatCode="0%" sourceLinked="1"/>
        <c:majorTickMark val="out"/>
        <c:minorTickMark val="none"/>
        <c:tickLblPos val="none"/>
        <c:crossAx val="298823472"/>
        <c:crosses val="autoZero"/>
        <c:crossBetween val="between"/>
        <c:maj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193140826113364"/>
          <c:y val="0.17316950144475432"/>
          <c:w val="0.51726342334466846"/>
          <c:h val="0.63059837318561485"/>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'結果（2-3レーダー）'!$W$9:$W$14</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7CD8-42CA-8C1B-9FBBBFEAF02F}"/>
            </c:ext>
          </c:extLst>
        </c:ser>
        <c:ser>
          <c:idx val="1"/>
          <c:order val="1"/>
          <c:spPr>
            <a:noFill/>
            <a:ln w="12700">
              <a:solidFill>
                <a:srgbClr val="00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'結果（2-3レーダー）'!$X$9:$X$14</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7CD8-42CA-8C1B-9FBBBFEAF02F}"/>
            </c:ext>
          </c:extLst>
        </c:ser>
        <c:ser>
          <c:idx val="2"/>
          <c:order val="2"/>
          <c:spPr>
            <a:noFill/>
            <a:ln w="12700">
              <a:solidFill>
                <a:srgbClr val="00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'結果（2-3レーダー）'!$Y$9:$Y$14</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7CD8-42CA-8C1B-9FBBBFEAF02F}"/>
            </c:ext>
          </c:extLst>
        </c:ser>
        <c:ser>
          <c:idx val="3"/>
          <c:order val="3"/>
          <c:spPr>
            <a:pattFill prst="pct50">
              <a:fgClr>
                <a:srgbClr val="CCCCFF"/>
              </a:fgClr>
              <a:bgClr>
                <a:srgbClr val="FFFFFF"/>
              </a:bgClr>
            </a:pattFill>
            <a:ln w="12700">
              <a:solidFill>
                <a:srgbClr val="00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'結果（2-3レーダー）'!$Z$9:$Z$14</c:f>
              <c:numCache>
                <c:formatCode>General</c:formatCode>
                <c:ptCount val="6"/>
                <c:pt idx="0">
                  <c:v>3.9</c:v>
                </c:pt>
                <c:pt idx="1">
                  <c:v>3.8</c:v>
                </c:pt>
                <c:pt idx="2">
                  <c:v>4.3</c:v>
                </c:pt>
                <c:pt idx="3">
                  <c:v>3.4</c:v>
                </c:pt>
                <c:pt idx="4">
                  <c:v>3.9</c:v>
                </c:pt>
                <c:pt idx="5">
                  <c:v>4.5999999999999996</c:v>
                </c:pt>
              </c:numCache>
            </c:numRef>
          </c:val>
          <c:extLst>
            <c:ext xmlns:c16="http://schemas.microsoft.com/office/drawing/2014/chart" uri="{C3380CC4-5D6E-409C-BE32-E72D297353CC}">
              <c16:uniqueId val="{00000003-7CD8-42CA-8C1B-9FBBBFEAF02F}"/>
            </c:ext>
          </c:extLst>
        </c:ser>
        <c:ser>
          <c:idx val="4"/>
          <c:order val="4"/>
          <c:spPr>
            <a:noFill/>
            <a:ln w="12700">
              <a:solidFill>
                <a:srgbClr val="FF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'結果（2-3レーダー）'!$AA$9:$AA$14</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7CD8-42CA-8C1B-9FBBBFEAF02F}"/>
            </c:ext>
          </c:extLst>
        </c:ser>
        <c:dLbls>
          <c:showLegendKey val="0"/>
          <c:showVal val="0"/>
          <c:showCatName val="0"/>
          <c:showSerName val="0"/>
          <c:showPercent val="0"/>
          <c:showBubbleSize val="0"/>
        </c:dLbls>
        <c:axId val="299135680"/>
        <c:axId val="299132152"/>
      </c:radarChart>
      <c:catAx>
        <c:axId val="2991356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99132152"/>
        <c:crosses val="autoZero"/>
        <c:auto val="0"/>
        <c:lblAlgn val="ctr"/>
        <c:lblOffset val="100"/>
        <c:noMultiLvlLbl val="0"/>
      </c:catAx>
      <c:valAx>
        <c:axId val="29913215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9135680"/>
        <c:crosses val="autoZero"/>
        <c:crossBetween val="between"/>
        <c:maj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checked="Checked" firstButton="1" fmlaLink="$S$71"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checked="Checked" firstButton="1" fmlaLink="$S$83"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S$20"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S$100"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checked="Checked" firstButton="1" fmlaLink="$S$104"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checked="Checked" firstButton="1" fmlaLink="$S$105"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S$107"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CheckBox" fmlaLink="$V$11" lockText="1" noThreeD="1"/>
</file>

<file path=xl/ctrlProps/ctrlProp166.xml><?xml version="1.0" encoding="utf-8"?>
<formControlPr xmlns="http://schemas.microsoft.com/office/spreadsheetml/2009/9/main" objectType="CheckBox" fmlaLink="$V$12" lockText="1" noThreeD="1"/>
</file>

<file path=xl/ctrlProps/ctrlProp167.xml><?xml version="1.0" encoding="utf-8"?>
<formControlPr xmlns="http://schemas.microsoft.com/office/spreadsheetml/2009/9/main" objectType="CheckBox" fmlaLink="$V$13" lockText="1" noThreeD="1"/>
</file>

<file path=xl/ctrlProps/ctrlProp168.xml><?xml version="1.0" encoding="utf-8"?>
<formControlPr xmlns="http://schemas.microsoft.com/office/spreadsheetml/2009/9/main" objectType="CheckBox" fmlaLink="$V$14" lockText="1" noThreeD="1"/>
</file>

<file path=xl/ctrlProps/ctrlProp169.xml><?xml version="1.0" encoding="utf-8"?>
<formControlPr xmlns="http://schemas.microsoft.com/office/spreadsheetml/2009/9/main" objectType="CheckBox" fmlaLink="$V$15" lockText="1"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CheckBox" fmlaLink="$V$16" lockText="1" noThreeD="1"/>
</file>

<file path=xl/ctrlProps/ctrlProp171.xml><?xml version="1.0" encoding="utf-8"?>
<formControlPr xmlns="http://schemas.microsoft.com/office/spreadsheetml/2009/9/main" objectType="CheckBox" fmlaLink="$V$17" lockText="1" noThreeD="1"/>
</file>

<file path=xl/ctrlProps/ctrlProp172.xml><?xml version="1.0" encoding="utf-8"?>
<formControlPr xmlns="http://schemas.microsoft.com/office/spreadsheetml/2009/9/main" objectType="CheckBox" fmlaLink="$V$19" lockText="1" noThreeD="1"/>
</file>

<file path=xl/ctrlProps/ctrlProp173.xml><?xml version="1.0" encoding="utf-8"?>
<formControlPr xmlns="http://schemas.microsoft.com/office/spreadsheetml/2009/9/main" objectType="CheckBox" fmlaLink="$V$18" lockText="1" noThreeD="1"/>
</file>

<file path=xl/ctrlProps/ctrlProp174.xml><?xml version="1.0" encoding="utf-8"?>
<formControlPr xmlns="http://schemas.microsoft.com/office/spreadsheetml/2009/9/main" objectType="CheckBox" fmlaLink="$V$20" lockText="1" noThreeD="1"/>
</file>

<file path=xl/ctrlProps/ctrlProp175.xml><?xml version="1.0" encoding="utf-8"?>
<formControlPr xmlns="http://schemas.microsoft.com/office/spreadsheetml/2009/9/main" objectType="CheckBox" fmlaLink="$V$21" lockText="1" noThreeD="1"/>
</file>

<file path=xl/ctrlProps/ctrlProp176.xml><?xml version="1.0" encoding="utf-8"?>
<formControlPr xmlns="http://schemas.microsoft.com/office/spreadsheetml/2009/9/main" objectType="CheckBox" fmlaLink="$V$23" lockText="1" noThreeD="1"/>
</file>

<file path=xl/ctrlProps/ctrlProp177.xml><?xml version="1.0" encoding="utf-8"?>
<formControlPr xmlns="http://schemas.microsoft.com/office/spreadsheetml/2009/9/main" objectType="CheckBox" fmlaLink="$V$24" lockText="1" noThreeD="1"/>
</file>

<file path=xl/ctrlProps/ctrlProp178.xml><?xml version="1.0" encoding="utf-8"?>
<formControlPr xmlns="http://schemas.microsoft.com/office/spreadsheetml/2009/9/main" objectType="CheckBox" fmlaLink="$V$25" lockText="1" noThreeD="1"/>
</file>

<file path=xl/ctrlProps/ctrlProp179.xml><?xml version="1.0" encoding="utf-8"?>
<formControlPr xmlns="http://schemas.microsoft.com/office/spreadsheetml/2009/9/main" objectType="CheckBox" fmlaLink="$V$26" lockText="1"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CheckBox" fmlaLink="$V$28" lockText="1" noThreeD="1"/>
</file>

<file path=xl/ctrlProps/ctrlProp181.xml><?xml version="1.0" encoding="utf-8"?>
<formControlPr xmlns="http://schemas.microsoft.com/office/spreadsheetml/2009/9/main" objectType="CheckBox" fmlaLink="$V$29" lockText="1" noThreeD="1"/>
</file>

<file path=xl/ctrlProps/ctrlProp182.xml><?xml version="1.0" encoding="utf-8"?>
<formControlPr xmlns="http://schemas.microsoft.com/office/spreadsheetml/2009/9/main" objectType="CheckBox" fmlaLink="$V$30" lockText="1" noThreeD="1"/>
</file>

<file path=xl/ctrlProps/ctrlProp183.xml><?xml version="1.0" encoding="utf-8"?>
<formControlPr xmlns="http://schemas.microsoft.com/office/spreadsheetml/2009/9/main" objectType="CheckBox" fmlaLink="$V$31" lockText="1" noThreeD="1"/>
</file>

<file path=xl/ctrlProps/ctrlProp184.xml><?xml version="1.0" encoding="utf-8"?>
<formControlPr xmlns="http://schemas.microsoft.com/office/spreadsheetml/2009/9/main" objectType="CheckBox" fmlaLink="$V$32" lockText="1" noThreeD="1"/>
</file>

<file path=xl/ctrlProps/ctrlProp185.xml><?xml version="1.0" encoding="utf-8"?>
<formControlPr xmlns="http://schemas.microsoft.com/office/spreadsheetml/2009/9/main" objectType="CheckBox" fmlaLink="$V$33" lockText="1" noThreeD="1"/>
</file>

<file path=xl/ctrlProps/ctrlProp186.xml><?xml version="1.0" encoding="utf-8"?>
<formControlPr xmlns="http://schemas.microsoft.com/office/spreadsheetml/2009/9/main" objectType="CheckBox" fmlaLink="$V$34" lockText="1" noThreeD="1"/>
</file>

<file path=xl/ctrlProps/ctrlProp187.xml><?xml version="1.0" encoding="utf-8"?>
<formControlPr xmlns="http://schemas.microsoft.com/office/spreadsheetml/2009/9/main" objectType="CheckBox" fmlaLink="$V$35" lockText="1" noThreeD="1"/>
</file>

<file path=xl/ctrlProps/ctrlProp188.xml><?xml version="1.0" encoding="utf-8"?>
<formControlPr xmlns="http://schemas.microsoft.com/office/spreadsheetml/2009/9/main" objectType="CheckBox" fmlaLink="$V$36" lockText="1" noThreeD="1"/>
</file>

<file path=xl/ctrlProps/ctrlProp189.xml><?xml version="1.0" encoding="utf-8"?>
<formControlPr xmlns="http://schemas.microsoft.com/office/spreadsheetml/2009/9/main" objectType="CheckBox" fmlaLink="$V$38" lockText="1"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CheckBox" fmlaLink="$V$39" lockText="1" noThreeD="1"/>
</file>

<file path=xl/ctrlProps/ctrlProp191.xml><?xml version="1.0" encoding="utf-8"?>
<formControlPr xmlns="http://schemas.microsoft.com/office/spreadsheetml/2009/9/main" objectType="CheckBox" fmlaLink="$V$41" lockText="1" noThreeD="1"/>
</file>

<file path=xl/ctrlProps/ctrlProp192.xml><?xml version="1.0" encoding="utf-8"?>
<formControlPr xmlns="http://schemas.microsoft.com/office/spreadsheetml/2009/9/main" objectType="CheckBox" fmlaLink="$V$42" lockText="1" noThreeD="1"/>
</file>

<file path=xl/ctrlProps/ctrlProp193.xml><?xml version="1.0" encoding="utf-8"?>
<formControlPr xmlns="http://schemas.microsoft.com/office/spreadsheetml/2009/9/main" objectType="CheckBox" fmlaLink="$V$43" lockText="1" noThreeD="1"/>
</file>

<file path=xl/ctrlProps/ctrlProp194.xml><?xml version="1.0" encoding="utf-8"?>
<formControlPr xmlns="http://schemas.microsoft.com/office/spreadsheetml/2009/9/main" objectType="CheckBox" fmlaLink="$V$45" lockText="1" noThreeD="1"/>
</file>

<file path=xl/ctrlProps/ctrlProp195.xml><?xml version="1.0" encoding="utf-8"?>
<formControlPr xmlns="http://schemas.microsoft.com/office/spreadsheetml/2009/9/main" objectType="CheckBox" fmlaLink="$V$46" lockText="1" noThreeD="1"/>
</file>

<file path=xl/ctrlProps/ctrlProp196.xml><?xml version="1.0" encoding="utf-8"?>
<formControlPr xmlns="http://schemas.microsoft.com/office/spreadsheetml/2009/9/main" objectType="CheckBox" fmlaLink="$V$48" lockText="1" noThreeD="1"/>
</file>

<file path=xl/ctrlProps/ctrlProp197.xml><?xml version="1.0" encoding="utf-8"?>
<formControlPr xmlns="http://schemas.microsoft.com/office/spreadsheetml/2009/9/main" objectType="CheckBox" fmlaLink="$V$49" lockText="1" noThreeD="1"/>
</file>

<file path=xl/ctrlProps/ctrlProp198.xml><?xml version="1.0" encoding="utf-8"?>
<formControlPr xmlns="http://schemas.microsoft.com/office/spreadsheetml/2009/9/main" objectType="CheckBox" fmlaLink="$V$50" lockText="1" noThreeD="1"/>
</file>

<file path=xl/ctrlProps/ctrlProp199.xml><?xml version="1.0" encoding="utf-8"?>
<formControlPr xmlns="http://schemas.microsoft.com/office/spreadsheetml/2009/9/main" objectType="CheckBox" fmlaLink="$V$51"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fmlaLink="$V$52" lockText="1" noThreeD="1"/>
</file>

<file path=xl/ctrlProps/ctrlProp201.xml><?xml version="1.0" encoding="utf-8"?>
<formControlPr xmlns="http://schemas.microsoft.com/office/spreadsheetml/2009/9/main" objectType="CheckBox" fmlaLink="$V$53" lockText="1" noThreeD="1"/>
</file>

<file path=xl/ctrlProps/ctrlProp202.xml><?xml version="1.0" encoding="utf-8"?>
<formControlPr xmlns="http://schemas.microsoft.com/office/spreadsheetml/2009/9/main" objectType="CheckBox" fmlaLink="$V$54" lockText="1" noThreeD="1"/>
</file>

<file path=xl/ctrlProps/ctrlProp203.xml><?xml version="1.0" encoding="utf-8"?>
<formControlPr xmlns="http://schemas.microsoft.com/office/spreadsheetml/2009/9/main" objectType="CheckBox" fmlaLink="$V$55" lockText="1" noThreeD="1"/>
</file>

<file path=xl/ctrlProps/ctrlProp204.xml><?xml version="1.0" encoding="utf-8"?>
<formControlPr xmlns="http://schemas.microsoft.com/office/spreadsheetml/2009/9/main" objectType="CheckBox" fmlaLink="$V$56" lockText="1" noThreeD="1"/>
</file>

<file path=xl/ctrlProps/ctrlProp205.xml><?xml version="1.0" encoding="utf-8"?>
<formControlPr xmlns="http://schemas.microsoft.com/office/spreadsheetml/2009/9/main" objectType="CheckBox" fmlaLink="$V$57" lockText="1" noThreeD="1"/>
</file>

<file path=xl/ctrlProps/ctrlProp206.xml><?xml version="1.0" encoding="utf-8"?>
<formControlPr xmlns="http://schemas.microsoft.com/office/spreadsheetml/2009/9/main" objectType="CheckBox" fmlaLink="$V$58" lockText="1" noThreeD="1"/>
</file>

<file path=xl/ctrlProps/ctrlProp207.xml><?xml version="1.0" encoding="utf-8"?>
<formControlPr xmlns="http://schemas.microsoft.com/office/spreadsheetml/2009/9/main" objectType="CheckBox" fmlaLink="$V$59" lockText="1" noThreeD="1"/>
</file>

<file path=xl/ctrlProps/ctrlProp208.xml><?xml version="1.0" encoding="utf-8"?>
<formControlPr xmlns="http://schemas.microsoft.com/office/spreadsheetml/2009/9/main" objectType="CheckBox" fmlaLink="$V$60" lockText="1" noThreeD="1"/>
</file>

<file path=xl/ctrlProps/ctrlProp209.xml><?xml version="1.0" encoding="utf-8"?>
<formControlPr xmlns="http://schemas.microsoft.com/office/spreadsheetml/2009/9/main" objectType="CheckBox" fmlaLink="$V$61" lockText="1" noThreeD="1"/>
</file>

<file path=xl/ctrlProps/ctrlProp21.xml><?xml version="1.0" encoding="utf-8"?>
<formControlPr xmlns="http://schemas.microsoft.com/office/spreadsheetml/2009/9/main" objectType="Radio" checked="Checked" firstButton="1" fmlaLink="$S$26" lockText="1" noThreeD="1"/>
</file>

<file path=xl/ctrlProps/ctrlProp210.xml><?xml version="1.0" encoding="utf-8"?>
<formControlPr xmlns="http://schemas.microsoft.com/office/spreadsheetml/2009/9/main" objectType="CheckBox" fmlaLink="$V$64" lockText="1" noThreeD="1"/>
</file>

<file path=xl/ctrlProps/ctrlProp211.xml><?xml version="1.0" encoding="utf-8"?>
<formControlPr xmlns="http://schemas.microsoft.com/office/spreadsheetml/2009/9/main" objectType="CheckBox" fmlaLink="$V$65" lockText="1" noThreeD="1"/>
</file>

<file path=xl/ctrlProps/ctrlProp212.xml><?xml version="1.0" encoding="utf-8"?>
<formControlPr xmlns="http://schemas.microsoft.com/office/spreadsheetml/2009/9/main" objectType="CheckBox" fmlaLink="$V$66" lockText="1" noThreeD="1"/>
</file>

<file path=xl/ctrlProps/ctrlProp213.xml><?xml version="1.0" encoding="utf-8"?>
<formControlPr xmlns="http://schemas.microsoft.com/office/spreadsheetml/2009/9/main" objectType="CheckBox" fmlaLink="$V$67" lockText="1" noThreeD="1"/>
</file>

<file path=xl/ctrlProps/ctrlProp214.xml><?xml version="1.0" encoding="utf-8"?>
<formControlPr xmlns="http://schemas.microsoft.com/office/spreadsheetml/2009/9/main" objectType="CheckBox" fmlaLink="$V$68" lockText="1" noThreeD="1"/>
</file>

<file path=xl/ctrlProps/ctrlProp215.xml><?xml version="1.0" encoding="utf-8"?>
<formControlPr xmlns="http://schemas.microsoft.com/office/spreadsheetml/2009/9/main" objectType="CheckBox" fmlaLink="$V$69" lockText="1" noThreeD="1"/>
</file>

<file path=xl/ctrlProps/ctrlProp216.xml><?xml version="1.0" encoding="utf-8"?>
<formControlPr xmlns="http://schemas.microsoft.com/office/spreadsheetml/2009/9/main" objectType="CheckBox" fmlaLink="$V$70" lockText="1" noThreeD="1"/>
</file>

<file path=xl/ctrlProps/ctrlProp217.xml><?xml version="1.0" encoding="utf-8"?>
<formControlPr xmlns="http://schemas.microsoft.com/office/spreadsheetml/2009/9/main" objectType="CheckBox" fmlaLink="$V$71" lockText="1" noThreeD="1"/>
</file>

<file path=xl/ctrlProps/ctrlProp218.xml><?xml version="1.0" encoding="utf-8"?>
<formControlPr xmlns="http://schemas.microsoft.com/office/spreadsheetml/2009/9/main" objectType="CheckBox" fmlaLink="$V$72" lockText="1" noThreeD="1"/>
</file>

<file path=xl/ctrlProps/ctrlProp219.xml><?xml version="1.0" encoding="utf-8"?>
<formControlPr xmlns="http://schemas.microsoft.com/office/spreadsheetml/2009/9/main" objectType="CheckBox" fmlaLink="$V$73"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fmlaLink="$V$74" lockText="1" noThreeD="1"/>
</file>

<file path=xl/ctrlProps/ctrlProp221.xml><?xml version="1.0" encoding="utf-8"?>
<formControlPr xmlns="http://schemas.microsoft.com/office/spreadsheetml/2009/9/main" objectType="CheckBox" fmlaLink="$V$75" lockText="1" noThreeD="1"/>
</file>

<file path=xl/ctrlProps/ctrlProp222.xml><?xml version="1.0" encoding="utf-8"?>
<formControlPr xmlns="http://schemas.microsoft.com/office/spreadsheetml/2009/9/main" objectType="CheckBox" fmlaLink="$V$77" lockText="1" noThreeD="1"/>
</file>

<file path=xl/ctrlProps/ctrlProp223.xml><?xml version="1.0" encoding="utf-8"?>
<formControlPr xmlns="http://schemas.microsoft.com/office/spreadsheetml/2009/9/main" objectType="CheckBox" fmlaLink="$V$78" lockText="1" noThreeD="1"/>
</file>

<file path=xl/ctrlProps/ctrlProp224.xml><?xml version="1.0" encoding="utf-8"?>
<formControlPr xmlns="http://schemas.microsoft.com/office/spreadsheetml/2009/9/main" objectType="CheckBox" fmlaLink="$V$79" lockText="1" noThreeD="1"/>
</file>

<file path=xl/ctrlProps/ctrlProp225.xml><?xml version="1.0" encoding="utf-8"?>
<formControlPr xmlns="http://schemas.microsoft.com/office/spreadsheetml/2009/9/main" objectType="CheckBox" fmlaLink="$V$80" lockText="1" noThreeD="1"/>
</file>

<file path=xl/ctrlProps/ctrlProp226.xml><?xml version="1.0" encoding="utf-8"?>
<formControlPr xmlns="http://schemas.microsoft.com/office/spreadsheetml/2009/9/main" objectType="CheckBox" fmlaLink="$V$81" lockText="1" noThreeD="1"/>
</file>

<file path=xl/ctrlProps/ctrlProp227.xml><?xml version="1.0" encoding="utf-8"?>
<formControlPr xmlns="http://schemas.microsoft.com/office/spreadsheetml/2009/9/main" objectType="CheckBox" fmlaLink="$V$83" lockText="1" noThreeD="1"/>
</file>

<file path=xl/ctrlProps/ctrlProp228.xml><?xml version="1.0" encoding="utf-8"?>
<formControlPr xmlns="http://schemas.microsoft.com/office/spreadsheetml/2009/9/main" objectType="CheckBox" fmlaLink="$V$85" lockText="1" noThreeD="1"/>
</file>

<file path=xl/ctrlProps/ctrlProp229.xml><?xml version="1.0" encoding="utf-8"?>
<formControlPr xmlns="http://schemas.microsoft.com/office/spreadsheetml/2009/9/main" objectType="CheckBox" fmlaLink="$V$86"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CheckBox" fmlaLink="$V$87" lockText="1" noThreeD="1"/>
</file>

<file path=xl/ctrlProps/ctrlProp231.xml><?xml version="1.0" encoding="utf-8"?>
<formControlPr xmlns="http://schemas.microsoft.com/office/spreadsheetml/2009/9/main" objectType="CheckBox" fmlaLink="$V$88" lockText="1" noThreeD="1"/>
</file>

<file path=xl/ctrlProps/ctrlProp232.xml><?xml version="1.0" encoding="utf-8"?>
<formControlPr xmlns="http://schemas.microsoft.com/office/spreadsheetml/2009/9/main" objectType="CheckBox" fmlaLink="$V$89" lockText="1" noThreeD="1"/>
</file>

<file path=xl/ctrlProps/ctrlProp233.xml><?xml version="1.0" encoding="utf-8"?>
<formControlPr xmlns="http://schemas.microsoft.com/office/spreadsheetml/2009/9/main" objectType="CheckBox" fmlaLink="$V$90" lockText="1" noThreeD="1"/>
</file>

<file path=xl/ctrlProps/ctrlProp234.xml><?xml version="1.0" encoding="utf-8"?>
<formControlPr xmlns="http://schemas.microsoft.com/office/spreadsheetml/2009/9/main" objectType="CheckBox" fmlaLink="$V$91" lockText="1" noThreeD="1"/>
</file>

<file path=xl/ctrlProps/ctrlProp235.xml><?xml version="1.0" encoding="utf-8"?>
<formControlPr xmlns="http://schemas.microsoft.com/office/spreadsheetml/2009/9/main" objectType="CheckBox" fmlaLink="$V$92" lockText="1" noThreeD="1"/>
</file>

<file path=xl/ctrlProps/ctrlProp236.xml><?xml version="1.0" encoding="utf-8"?>
<formControlPr xmlns="http://schemas.microsoft.com/office/spreadsheetml/2009/9/main" objectType="CheckBox" fmlaLink="$V$93" lockText="1" noThreeD="1"/>
</file>

<file path=xl/ctrlProps/ctrlProp237.xml><?xml version="1.0" encoding="utf-8"?>
<formControlPr xmlns="http://schemas.microsoft.com/office/spreadsheetml/2009/9/main" objectType="CheckBox" fmlaLink="$V$95" lockText="1" noThreeD="1"/>
</file>

<file path=xl/ctrlProps/ctrlProp238.xml><?xml version="1.0" encoding="utf-8"?>
<formControlPr xmlns="http://schemas.microsoft.com/office/spreadsheetml/2009/9/main" objectType="CheckBox" fmlaLink="$V$96" lockText="1" noThreeD="1"/>
</file>

<file path=xl/ctrlProps/ctrlProp239.xml><?xml version="1.0" encoding="utf-8"?>
<formControlPr xmlns="http://schemas.microsoft.com/office/spreadsheetml/2009/9/main" objectType="CheckBox" fmlaLink="$V$97"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fmlaLink="$V$98" lockText="1" noThreeD="1"/>
</file>

<file path=xl/ctrlProps/ctrlProp241.xml><?xml version="1.0" encoding="utf-8"?>
<formControlPr xmlns="http://schemas.microsoft.com/office/spreadsheetml/2009/9/main" objectType="CheckBox" fmlaLink="$V$99" lockText="1" noThreeD="1"/>
</file>

<file path=xl/ctrlProps/ctrlProp242.xml><?xml version="1.0" encoding="utf-8"?>
<formControlPr xmlns="http://schemas.microsoft.com/office/spreadsheetml/2009/9/main" objectType="CheckBox" fmlaLink="$V$100" lockText="1" noThreeD="1"/>
</file>

<file path=xl/ctrlProps/ctrlProp243.xml><?xml version="1.0" encoding="utf-8"?>
<formControlPr xmlns="http://schemas.microsoft.com/office/spreadsheetml/2009/9/main" objectType="CheckBox" fmlaLink="$V$102" lockText="1" noThreeD="1"/>
</file>

<file path=xl/ctrlProps/ctrlProp244.xml><?xml version="1.0" encoding="utf-8"?>
<formControlPr xmlns="http://schemas.microsoft.com/office/spreadsheetml/2009/9/main" objectType="CheckBox" fmlaLink="$V$103" lockText="1" noThreeD="1"/>
</file>

<file path=xl/ctrlProps/ctrlProp245.xml><?xml version="1.0" encoding="utf-8"?>
<formControlPr xmlns="http://schemas.microsoft.com/office/spreadsheetml/2009/9/main" objectType="CheckBox" fmlaLink="$V$104" lockText="1" noThreeD="1"/>
</file>

<file path=xl/ctrlProps/ctrlProp246.xml><?xml version="1.0" encoding="utf-8"?>
<formControlPr xmlns="http://schemas.microsoft.com/office/spreadsheetml/2009/9/main" objectType="CheckBox" fmlaLink="$V$105" lockText="1" noThreeD="1"/>
</file>

<file path=xl/ctrlProps/ctrlProp247.xml><?xml version="1.0" encoding="utf-8"?>
<formControlPr xmlns="http://schemas.microsoft.com/office/spreadsheetml/2009/9/main" objectType="CheckBox" fmlaLink="$V$107" lockText="1" noThreeD="1"/>
</file>

<file path=xl/ctrlProps/ctrlProp248.xml><?xml version="1.0" encoding="utf-8"?>
<formControlPr xmlns="http://schemas.microsoft.com/office/spreadsheetml/2009/9/main" objectType="CheckBox" fmlaLink="$V$108" lockText="1" noThreeD="1"/>
</file>

<file path=xl/ctrlProps/ctrlProp249.xml><?xml version="1.0" encoding="utf-8"?>
<formControlPr xmlns="http://schemas.microsoft.com/office/spreadsheetml/2009/9/main" objectType="CheckBox" fmlaLink="$V$109"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fmlaLink="$V$110" lockText="1" noThreeD="1"/>
</file>

<file path=xl/ctrlProps/ctrlProp251.xml><?xml version="1.0" encoding="utf-8"?>
<formControlPr xmlns="http://schemas.microsoft.com/office/spreadsheetml/2009/9/main" objectType="CheckBox" fmlaLink="$V$111" lockText="1" noThreeD="1"/>
</file>

<file path=xl/ctrlProps/ctrlProp252.xml><?xml version="1.0" encoding="utf-8"?>
<formControlPr xmlns="http://schemas.microsoft.com/office/spreadsheetml/2009/9/main" objectType="CheckBox" fmlaLink="$V$112" lockText="1" noThreeD="1"/>
</file>

<file path=xl/ctrlProps/ctrlProp253.xml><?xml version="1.0" encoding="utf-8"?>
<formControlPr xmlns="http://schemas.microsoft.com/office/spreadsheetml/2009/9/main" objectType="CheckBox" fmlaLink="$V$113" lockText="1" noThreeD="1"/>
</file>

<file path=xl/ctrlProps/ctrlProp254.xml><?xml version="1.0" encoding="utf-8"?>
<formControlPr xmlns="http://schemas.microsoft.com/office/spreadsheetml/2009/9/main" objectType="CheckBox" fmlaLink="$V$114" lockText="1" noThreeD="1"/>
</file>

<file path=xl/ctrlProps/ctrlProp255.xml><?xml version="1.0" encoding="utf-8"?>
<formControlPr xmlns="http://schemas.microsoft.com/office/spreadsheetml/2009/9/main" objectType="CheckBox" fmlaLink="$V$115"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CheckBox" fmlaLink="$V$47" lockText="1" noThreeD="1"/>
</file>

<file path=xl/ctrlProps/ctrlProp258.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checked="Checked" firstButton="1" fmlaLink="$S$34"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checked="Checked" firstButton="1" fmlaLink="$S$3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S$39"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checked="Checked" firstButton="1" fmlaLink="$S$43"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checked="Checked" firstButton="1"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checked="Checked" firstButton="1" fmlaLink="$S$48"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checked="Checked" firstButton="1" fmlaLink="$S$49"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checked="Checked" firstButton="1" fmlaLink="$S$55"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checked="Checked" firstButton="1" fmlaLink="$S$56"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checked="Checked" firstButton="1" fmlaLink="$S$57"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firstButton="1" fmlaLink="$S$18"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checked="Checked" firstButton="1" fmlaLink="$S$58"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checked="Checked" firstButton="1" fmlaLink="$S$59"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checked="Checked" firstButton="1" fmlaLink="$S$60"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checked="Checked" firstButton="1" fmlaLink="$S$61"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Radio" checked="Checked" firstButton="1" fmlaLink="$S$65" lockText="1" noThreeD="1"/>
</file>

<file path=xl/drawings/_rels/drawing12.xml.rels>&#65279;<?xml version="1.0" encoding="utf-8" standalone="yes"?>
<Relationships xmlns="http://schemas.openxmlformats.org/package/2006/relationships">
  <Relationship Id="rId8" Type="http://schemas.openxmlformats.org/officeDocument/2006/relationships/chart" Target="../charts/chart19.xml" />
  <Relationship Id="rId13" Type="http://schemas.openxmlformats.org/officeDocument/2006/relationships/chart" Target="../charts/chart23.xml" />
  <Relationship Id="rId18" Type="http://schemas.openxmlformats.org/officeDocument/2006/relationships/image" Target="../media/image15.png" />
  <Relationship Id="rId26" Type="http://schemas.openxmlformats.org/officeDocument/2006/relationships/image" Target="../media/image1.png" />
  <Relationship Id="rId3" Type="http://schemas.openxmlformats.org/officeDocument/2006/relationships/chart" Target="../charts/chart14.xml" />
  <Relationship Id="rId21" Type="http://schemas.openxmlformats.org/officeDocument/2006/relationships/image" Target="../media/image18.png" />
  <Relationship Id="rId7" Type="http://schemas.openxmlformats.org/officeDocument/2006/relationships/chart" Target="../charts/chart18.xml" />
  <Relationship Id="rId12" Type="http://schemas.openxmlformats.org/officeDocument/2006/relationships/chart" Target="../charts/chart22.xml" />
  <Relationship Id="rId17" Type="http://schemas.openxmlformats.org/officeDocument/2006/relationships/image" Target="../media/image14.png" />
  <Relationship Id="rId25" Type="http://schemas.openxmlformats.org/officeDocument/2006/relationships/image" Target="../media/image22.png" />
  <Relationship Id="rId2" Type="http://schemas.openxmlformats.org/officeDocument/2006/relationships/chart" Target="../charts/chart13.xml" />
  <Relationship Id="rId16" Type="http://schemas.openxmlformats.org/officeDocument/2006/relationships/image" Target="../media/image13.png" />
  <Relationship Id="rId20" Type="http://schemas.openxmlformats.org/officeDocument/2006/relationships/image" Target="../media/image17.png" />
  <Relationship Id="rId1" Type="http://schemas.openxmlformats.org/officeDocument/2006/relationships/chart" Target="../charts/chart12.xml" />
  <Relationship Id="rId6" Type="http://schemas.openxmlformats.org/officeDocument/2006/relationships/chart" Target="../charts/chart17.xml" />
  <Relationship Id="rId11" Type="http://schemas.openxmlformats.org/officeDocument/2006/relationships/chart" Target="../charts/chart21.xml" />
  <Relationship Id="rId24" Type="http://schemas.openxmlformats.org/officeDocument/2006/relationships/image" Target="../media/image21.png" />
  <Relationship Id="rId5" Type="http://schemas.openxmlformats.org/officeDocument/2006/relationships/chart" Target="../charts/chart16.xml" />
  <Relationship Id="rId15" Type="http://schemas.openxmlformats.org/officeDocument/2006/relationships/image" Target="../media/image12.png" />
  <Relationship Id="rId23" Type="http://schemas.openxmlformats.org/officeDocument/2006/relationships/image" Target="../media/image20.png" />
  <Relationship Id="rId10" Type="http://schemas.openxmlformats.org/officeDocument/2006/relationships/chart" Target="../charts/chart20.xml" />
  <Relationship Id="rId19" Type="http://schemas.openxmlformats.org/officeDocument/2006/relationships/image" Target="../media/image16.png" />
  <Relationship Id="rId4" Type="http://schemas.openxmlformats.org/officeDocument/2006/relationships/chart" Target="../charts/chart15.xml" />
  <Relationship Id="rId9" Type="http://schemas.openxmlformats.org/officeDocument/2006/relationships/image" Target="../media/image5.emf" />
  <Relationship Id="rId14" Type="http://schemas.openxmlformats.org/officeDocument/2006/relationships/image" Target="../media/image11.png" />
  <Relationship Id="rId22" Type="http://schemas.openxmlformats.org/officeDocument/2006/relationships/image" Target="../media/image19.png" />
</Relationships>
</file>

<file path=xl/drawings/_rels/drawing2.xml.rels>&#65279;<?xml version="1.0" encoding="utf-8" standalone="yes"?>
<Relationships xmlns="http://schemas.openxmlformats.org/package/2006/relationships">
  <Relationship Id="rId1" Type="http://schemas.openxmlformats.org/officeDocument/2006/relationships/image" Target="../media/image1.png" />
</Relationships>
</file>

<file path=xl/drawings/_rels/drawing25.xml.rels>&#65279;<?xml version="1.0" encoding="utf-8" standalone="yes"?>
<Relationships xmlns="http://schemas.openxmlformats.org/package/2006/relationships">
  <Relationship Id="rId8" Type="http://schemas.openxmlformats.org/officeDocument/2006/relationships/image" Target="../media/image30.png" />
  <Relationship Id="rId13" Type="http://schemas.openxmlformats.org/officeDocument/2006/relationships/image" Target="../media/image35.png" />
  <Relationship Id="rId3" Type="http://schemas.openxmlformats.org/officeDocument/2006/relationships/image" Target="../media/image25.png" />
  <Relationship Id="rId7" Type="http://schemas.openxmlformats.org/officeDocument/2006/relationships/image" Target="../media/image29.png" />
  <Relationship Id="rId12" Type="http://schemas.openxmlformats.org/officeDocument/2006/relationships/image" Target="../media/image34.png" />
  <Relationship Id="rId17" Type="http://schemas.openxmlformats.org/officeDocument/2006/relationships/image" Target="../media/image39.png" />
  <Relationship Id="rId2" Type="http://schemas.openxmlformats.org/officeDocument/2006/relationships/image" Target="../media/image24.png" />
  <Relationship Id="rId16" Type="http://schemas.openxmlformats.org/officeDocument/2006/relationships/image" Target="../media/image38.png" />
  <Relationship Id="rId1" Type="http://schemas.openxmlformats.org/officeDocument/2006/relationships/image" Target="../media/image23.png" />
  <Relationship Id="rId6" Type="http://schemas.openxmlformats.org/officeDocument/2006/relationships/image" Target="../media/image28.png" />
  <Relationship Id="rId11" Type="http://schemas.openxmlformats.org/officeDocument/2006/relationships/image" Target="../media/image33.png" />
  <Relationship Id="rId5" Type="http://schemas.openxmlformats.org/officeDocument/2006/relationships/image" Target="../media/image27.png" />
  <Relationship Id="rId15" Type="http://schemas.openxmlformats.org/officeDocument/2006/relationships/image" Target="../media/image37.png" />
  <Relationship Id="rId10" Type="http://schemas.openxmlformats.org/officeDocument/2006/relationships/image" Target="../media/image32.png" />
  <Relationship Id="rId4" Type="http://schemas.openxmlformats.org/officeDocument/2006/relationships/image" Target="../media/image26.png" />
  <Relationship Id="rId9" Type="http://schemas.openxmlformats.org/officeDocument/2006/relationships/image" Target="../media/image31.png" />
  <Relationship Id="rId14" Type="http://schemas.openxmlformats.org/officeDocument/2006/relationships/image" Target="../media/image36.png" />
</Relationships>
</file>

<file path=xl/drawings/_rels/drawing3.xml.rels>&#65279;<?xml version="1.0" encoding="utf-8" standalone="yes"?>
<Relationships xmlns="http://schemas.openxmlformats.org/package/2006/relationships">
  <Relationship Id="rId8" Type="http://schemas.openxmlformats.org/officeDocument/2006/relationships/chart" Target="../charts/chart8.xml" />
  <Relationship Id="rId13" Type="http://schemas.openxmlformats.org/officeDocument/2006/relationships/image" Target="../media/image1.png" />
  <Relationship Id="rId3" Type="http://schemas.openxmlformats.org/officeDocument/2006/relationships/chart" Target="../charts/chart3.xml" />
  <Relationship Id="rId7" Type="http://schemas.openxmlformats.org/officeDocument/2006/relationships/chart" Target="../charts/chart7.xml" />
  <Relationship Id="rId12" Type="http://schemas.openxmlformats.org/officeDocument/2006/relationships/chart" Target="../charts/chart11.xml" />
  <Relationship Id="rId2" Type="http://schemas.openxmlformats.org/officeDocument/2006/relationships/chart" Target="../charts/chart2.xml" />
  <Relationship Id="rId1" Type="http://schemas.openxmlformats.org/officeDocument/2006/relationships/chart" Target="../charts/chart1.xml" />
  <Relationship Id="rId6" Type="http://schemas.openxmlformats.org/officeDocument/2006/relationships/chart" Target="../charts/chart6.xml" />
  <Relationship Id="rId11" Type="http://schemas.openxmlformats.org/officeDocument/2006/relationships/chart" Target="../charts/chart10.xml" />
  <Relationship Id="rId5" Type="http://schemas.openxmlformats.org/officeDocument/2006/relationships/chart" Target="../charts/chart5.xml" />
  <Relationship Id="rId10" Type="http://schemas.openxmlformats.org/officeDocument/2006/relationships/chart" Target="../charts/chart9.xml" />
  <Relationship Id="rId4" Type="http://schemas.openxmlformats.org/officeDocument/2006/relationships/chart" Target="../charts/chart4.xml" />
  <Relationship Id="rId9" Type="http://schemas.openxmlformats.org/officeDocument/2006/relationships/image" Target="../media/image5.emf" />
</Relationships>
</file>

<file path=xl/drawings/drawing1.xml><?xml version="1.0" encoding="utf-8"?>
<xdr:wsDr xmlns:xdr="http://schemas.openxmlformats.org/drawingml/2006/spreadsheetDrawing" xmlns:a="http://schemas.openxmlformats.org/drawingml/2006/main">
  <xdr:twoCellAnchor>
    <xdr:from>
      <xdr:col>7</xdr:col>
      <xdr:colOff>300990</xdr:colOff>
      <xdr:row>0</xdr:row>
      <xdr:rowOff>106680</xdr:rowOff>
    </xdr:from>
    <xdr:to>
      <xdr:col>18</xdr:col>
      <xdr:colOff>118</xdr:colOff>
      <xdr:row>35</xdr:row>
      <xdr:rowOff>160020</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4034790" y="106680"/>
          <a:ext cx="6404728" cy="6123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defRPr sz="1000"/>
          </a:pPr>
          <a:r>
            <a:rPr lang="ja-JP" altLang="en-US" sz="1100" b="0" i="0" u="none" strike="noStrike" baseline="0">
              <a:solidFill>
                <a:srgbClr val="FF0000"/>
              </a:solidFill>
              <a:latin typeface="ＭＳ Ｐゴシック"/>
              <a:ea typeface="ＭＳ Ｐゴシック"/>
            </a:rPr>
            <a:t>　　</a:t>
          </a:r>
        </a:p>
        <a:p>
          <a:pPr algn="l" rtl="0">
            <a:defRPr sz="1000"/>
          </a:pP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戸建（新築）</a:t>
          </a:r>
          <a:r>
            <a:rPr lang="en-US" altLang="ja-JP" sz="1100" b="0" i="0" u="none" strike="noStrike" baseline="0">
              <a:solidFill>
                <a:sysClr val="windowText" lastClr="000000"/>
              </a:solidFill>
              <a:latin typeface="ＭＳ Ｐゴシック"/>
              <a:ea typeface="ＭＳ Ｐゴシック"/>
            </a:rPr>
            <a:t>2018</a:t>
          </a:r>
          <a:r>
            <a:rPr lang="ja-JP" altLang="en-US" sz="1100" b="0" i="0" u="none" strike="noStrike" baseline="0">
              <a:solidFill>
                <a:sysClr val="windowText" lastClr="000000"/>
              </a:solidFill>
              <a:latin typeface="ＭＳ Ｐゴシック"/>
              <a:ea typeface="ＭＳ Ｐゴシック"/>
            </a:rPr>
            <a:t>年版に基づく</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LCCM</a:t>
          </a:r>
          <a:r>
            <a:rPr lang="ja-JP" altLang="en-US" sz="1100" b="0" i="0" u="none" strike="noStrike" baseline="0">
              <a:solidFill>
                <a:sysClr val="windowText" lastClr="000000"/>
              </a:solidFill>
              <a:latin typeface="ＭＳ Ｐゴシック"/>
              <a:ea typeface="ＭＳ Ｐゴシック"/>
            </a:rPr>
            <a:t>住宅部門の基本要件（</a:t>
          </a:r>
          <a:r>
            <a:rPr lang="en-US" altLang="ja-JP" sz="1100" b="0" i="0" u="none" strike="noStrike" baseline="0">
              <a:solidFill>
                <a:sysClr val="windowText" lastClr="000000"/>
              </a:solidFill>
              <a:latin typeface="ＭＳ Ｐゴシック"/>
              <a:ea typeface="ＭＳ Ｐゴシック"/>
            </a:rPr>
            <a:t>LCCO</a:t>
          </a:r>
          <a:r>
            <a:rPr lang="en-US" altLang="ja-JP" sz="1100" b="0" i="0" u="none" strike="noStrike" baseline="-25000">
              <a:solidFill>
                <a:sysClr val="windowText" lastClr="000000"/>
              </a:solidFill>
              <a:latin typeface="ＭＳ Ｐゴシック"/>
              <a:ea typeface="ＭＳ Ｐゴシック"/>
            </a:rPr>
            <a:t>2</a:t>
          </a:r>
          <a:r>
            <a:rPr lang="ja-JP" altLang="en-US" sz="1100" b="0" i="0" u="none" strike="noStrike" baseline="0">
              <a:solidFill>
                <a:sysClr val="windowText" lastClr="000000"/>
              </a:solidFill>
              <a:latin typeface="ＭＳ Ｐゴシック"/>
              <a:ea typeface="ＭＳ Ｐゴシック"/>
            </a:rPr>
            <a:t>）適合判定ツール</a:t>
          </a:r>
          <a:r>
            <a:rPr lang="en-US" altLang="ja-JP" sz="1100" b="0" i="0" u="none" strike="noStrike" baseline="0">
              <a:solidFill>
                <a:sysClr val="windowText" lastClr="000000"/>
              </a:solidFill>
              <a:latin typeface="ＭＳ Ｐゴシック"/>
              <a:ea typeface="ＭＳ Ｐゴシック"/>
            </a:rPr>
            <a:t>ver.1.0</a:t>
          </a:r>
          <a:endParaRPr lang="ja-JP" altLang="en-US"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13</a:t>
          </a:r>
          <a:r>
            <a:rPr lang="ja-JP" altLang="en-US" sz="1100" b="0" i="0" u="none" strike="noStrike" baseline="0">
              <a:solidFill>
                <a:sysClr val="windowText" lastClr="000000"/>
              </a:solidFill>
              <a:latin typeface="ＭＳ Ｐゴシック"/>
              <a:ea typeface="ＭＳ Ｐゴシック"/>
            </a:rPr>
            <a:t> 版</a:t>
          </a:r>
        </a:p>
        <a:p>
          <a:pPr algn="l" rtl="0">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LCCM_2018v1.0</a:t>
          </a:r>
          <a:endParaRPr lang="ja-JP" altLang="en-US"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201</a:t>
          </a:r>
          <a:r>
            <a:rPr lang="en-US" altLang="ja-JP" sz="1100" b="0" i="0" u="none" strike="noStrike" baseline="0">
              <a:solidFill>
                <a:sysClr val="windowText" lastClr="000000"/>
              </a:solidFill>
              <a:latin typeface="ＭＳ Ｐゴシック"/>
              <a:ea typeface="ＭＳ Ｐゴシック"/>
            </a:rPr>
            <a:t>8</a:t>
          </a:r>
          <a:r>
            <a:rPr lang="ja-JP" altLang="en-US" sz="1100" b="0" i="0" u="none" strike="noStrike" baseline="0">
              <a:solidFill>
                <a:sysClr val="windowText" lastClr="000000"/>
              </a:solidFill>
              <a:latin typeface="ＭＳ Ｐゴシック"/>
              <a:ea typeface="ＭＳ Ｐゴシック"/>
            </a:rPr>
            <a:t>年 </a:t>
          </a:r>
          <a:r>
            <a:rPr lang="en-US" altLang="ja-JP" sz="1100" b="0" i="0" u="none" strike="noStrike" baseline="0">
              <a:solidFill>
                <a:sysClr val="windowText" lastClr="000000"/>
              </a:solidFill>
              <a:latin typeface="ＭＳ Ｐゴシック"/>
              <a:ea typeface="ＭＳ Ｐゴシック"/>
            </a:rPr>
            <a:t>4</a:t>
          </a:r>
          <a:r>
            <a:rPr lang="ja-JP" altLang="en-US" sz="1100" b="0" i="0" u="none" strike="noStrike" baseline="0">
              <a:solidFill>
                <a:sysClr val="windowText" lastClr="000000"/>
              </a:solidFill>
              <a:latin typeface="ＭＳ Ｐゴシック"/>
              <a:ea typeface="ＭＳ Ｐゴシック"/>
            </a:rPr>
            <a:t>月発行</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a:t>
          </a:r>
          <a:r>
            <a:rPr lang="ja-JP" altLang="en-US" sz="1000" b="0" i="0" u="none" strike="noStrike" baseline="0">
              <a:solidFill>
                <a:srgbClr val="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また、Microsoft Windows、Microsoft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一般財団法人　建築環境・省エネルギー機構</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rgbClr val="FF0000"/>
              </a:solidFill>
              <a:latin typeface="ＭＳ Ｐゴシック"/>
              <a:ea typeface="ＭＳ Ｐゴシック"/>
            </a:rPr>
            <a:t>　E-Mail  </a:t>
          </a:r>
          <a:endParaRPr lang="en-US" altLang="ja-JP" sz="1100" b="0" i="0" u="none" strike="noStrike" baseline="0">
            <a:solidFill>
              <a:srgbClr val="FF0000"/>
            </a:solidFill>
            <a:latin typeface="ＭＳ Ｐゴシック"/>
            <a:ea typeface="ＭＳ Ｐゴシック"/>
          </a:endParaRPr>
        </a:p>
        <a:p>
          <a:pPr algn="l" rtl="0">
            <a:defRPr sz="1000"/>
          </a:pPr>
          <a:r>
            <a:rPr lang="ja-JP" altLang="en-US" sz="1100" b="0" i="0" u="none" strike="noStrike" baseline="0">
              <a:solidFill>
                <a:srgbClr val="FF0000"/>
              </a:solidFill>
              <a:latin typeface="ＭＳ Ｐゴシック"/>
              <a:ea typeface="ＭＳ Ｐゴシック"/>
            </a:rPr>
            <a:t>　　　　　URL　</a:t>
          </a:r>
          <a:r>
            <a:rPr lang="en-US" altLang="ja-JP" sz="1100" b="0" i="0" u="none" strike="noStrike" baseline="0">
              <a:solidFill>
                <a:srgbClr val="FF0000"/>
              </a:solidFill>
              <a:latin typeface="ＭＳ Ｐゴシック"/>
              <a:ea typeface="ＭＳ Ｐゴシック"/>
            </a:rPr>
            <a:t>http://www.ibec.or.jp/rating/lccm.html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 Japan Sustainable Building Consortium (JSBC)</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34290</xdr:colOff>
      <xdr:row>0</xdr:row>
      <xdr:rowOff>106680</xdr:rowOff>
    </xdr:from>
    <xdr:to>
      <xdr:col>7</xdr:col>
      <xdr:colOff>167681</xdr:colOff>
      <xdr:row>35</xdr:row>
      <xdr:rowOff>160020</xdr:rowOff>
    </xdr:to>
    <xdr:sp macro="" textlink="">
      <xdr:nvSpPr>
        <xdr:cNvPr id="3" name="Text Box 3">
          <a:extLst>
            <a:ext uri="{FF2B5EF4-FFF2-40B4-BE49-F238E27FC236}">
              <a16:creationId xmlns:a16="http://schemas.microsoft.com/office/drawing/2014/main" id="{00000000-0008-0000-0100-000003000000}"/>
            </a:ext>
          </a:extLst>
        </xdr:cNvPr>
        <xdr:cNvSpPr txBox="1">
          <a:spLocks noChangeArrowheads="1"/>
        </xdr:cNvSpPr>
      </xdr:nvSpPr>
      <xdr:spPr bwMode="auto">
        <a:xfrm>
          <a:off x="110490" y="106680"/>
          <a:ext cx="3790991" cy="6123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ＭＳ Ｐゴシック"/>
            </a:rPr>
            <a:t>LCCM</a:t>
          </a:r>
          <a:r>
            <a:rPr lang="ja-JP" altLang="en-US" sz="1100" b="0" i="0" u="none" strike="noStrike" baseline="0">
              <a:solidFill>
                <a:srgbClr val="000000"/>
              </a:solidFill>
              <a:latin typeface="ＭＳ Ｐゴシック"/>
              <a:ea typeface="ＭＳ Ｐゴシック"/>
            </a:rPr>
            <a:t>住宅部門の基本要件（</a:t>
          </a:r>
          <a:r>
            <a:rPr lang="en-US" altLang="ja-JP" sz="1100" b="0" i="0" u="none" strike="noStrike" baseline="0">
              <a:solidFill>
                <a:srgbClr val="000000"/>
              </a:solidFill>
              <a:latin typeface="ＭＳ Ｐゴシック"/>
              <a:ea typeface="ＭＳ Ｐゴシック"/>
            </a:rPr>
            <a:t>LCCO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）適合判定ツール</a:t>
          </a:r>
        </a:p>
        <a:p>
          <a:pPr algn="l" rtl="0">
            <a:lnSpc>
              <a:spcPts val="1300"/>
            </a:lnSpc>
            <a:defRPr sz="1000"/>
          </a:pPr>
          <a:r>
            <a:rPr lang="ja-JP" altLang="en-US" sz="1100" b="0" i="0" u="none" strike="noStrike" baseline="0">
              <a:solidFill>
                <a:srgbClr val="000000"/>
              </a:solidFill>
              <a:latin typeface="ＭＳ Ｐゴシック"/>
              <a:ea typeface="ＭＳ Ｐゴシック"/>
            </a:rPr>
            <a:t>」は、Microsoft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0.00218</cdr:x>
      <cdr:y>0.14304</cdr:y>
    </cdr:from>
    <cdr:to>
      <cdr:x>0.00218</cdr:x>
      <cdr:y>0.14639</cdr:y>
    </cdr:to>
    <cdr:sp macro="" textlink="">
      <cdr:nvSpPr>
        <cdr:cNvPr id="256001" name="Text Box 1"/>
        <cdr:cNvSpPr txBox="1">
          <a:spLocks xmlns:a="http://schemas.openxmlformats.org/drawingml/2006/main" noChangeArrowheads="1"/>
        </cdr:cNvSpPr>
      </cdr:nvSpPr>
      <cdr:spPr bwMode="auto">
        <a:xfrm xmlns:a="http://schemas.openxmlformats.org/drawingml/2006/main">
          <a:off x="0" y="388740"/>
          <a:ext cx="293326" cy="145188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0.21264</cdr:x>
      <cdr:y>0.90498</cdr:y>
    </cdr:from>
    <cdr:to>
      <cdr:x>0.86122</cdr:x>
      <cdr:y>0.99365</cdr:y>
    </cdr:to>
    <cdr:sp macro="" textlink="">
      <cdr:nvSpPr>
        <cdr:cNvPr id="256002" name="Text Box 2"/>
        <cdr:cNvSpPr txBox="1">
          <a:spLocks xmlns:a="http://schemas.openxmlformats.org/drawingml/2006/main" noChangeArrowheads="1"/>
        </cdr:cNvSpPr>
      </cdr:nvSpPr>
      <cdr:spPr bwMode="auto">
        <a:xfrm xmlns:a="http://schemas.openxmlformats.org/drawingml/2006/main">
          <a:off x="557058" y="2201810"/>
          <a:ext cx="1772374" cy="23056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0.20426</cdr:x>
      <cdr:y>0.11775</cdr:y>
    </cdr:from>
    <cdr:to>
      <cdr:x>0.4337</cdr:x>
      <cdr:y>0.23252</cdr:y>
    </cdr:to>
    <cdr:sp macro="" textlink="">
      <cdr:nvSpPr>
        <cdr:cNvPr id="256003" name="Text Box 3"/>
        <cdr:cNvSpPr txBox="1">
          <a:spLocks xmlns:a="http://schemas.openxmlformats.org/drawingml/2006/main" noChangeArrowheads="1"/>
        </cdr:cNvSpPr>
      </cdr:nvSpPr>
      <cdr:spPr bwMode="auto">
        <a:xfrm xmlns:a="http://schemas.openxmlformats.org/drawingml/2006/main">
          <a:off x="535255" y="273479"/>
          <a:ext cx="502703"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S</a:t>
          </a:r>
        </a:p>
      </cdr:txBody>
    </cdr:sp>
  </cdr:relSizeAnchor>
  <cdr:relSizeAnchor xmlns:cdr="http://schemas.openxmlformats.org/drawingml/2006/chartDrawing">
    <cdr:from>
      <cdr:x>0.45576</cdr:x>
      <cdr:y>0.10962</cdr:y>
    </cdr:from>
    <cdr:to>
      <cdr:x>0.65748</cdr:x>
      <cdr:y>0.23442</cdr:y>
    </cdr:to>
    <cdr:sp macro="" textlink="">
      <cdr:nvSpPr>
        <cdr:cNvPr id="256004" name="Text Box 4"/>
        <cdr:cNvSpPr txBox="1">
          <a:spLocks xmlns:a="http://schemas.openxmlformats.org/drawingml/2006/main" noChangeArrowheads="1"/>
        </cdr:cNvSpPr>
      </cdr:nvSpPr>
      <cdr:spPr bwMode="auto">
        <a:xfrm xmlns:a="http://schemas.openxmlformats.org/drawingml/2006/main">
          <a:off x="1090936" y="252494"/>
          <a:ext cx="442072" cy="3048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A</a:t>
          </a:r>
        </a:p>
      </cdr:txBody>
    </cdr:sp>
  </cdr:relSizeAnchor>
  <cdr:relSizeAnchor xmlns:cdr="http://schemas.openxmlformats.org/drawingml/2006/chartDrawing">
    <cdr:from>
      <cdr:x>0.70416</cdr:x>
      <cdr:y>0.10962</cdr:y>
    </cdr:from>
    <cdr:to>
      <cdr:x>0.89722</cdr:x>
      <cdr:y>0.23227</cdr:y>
    </cdr:to>
    <cdr:sp macro="" textlink="">
      <cdr:nvSpPr>
        <cdr:cNvPr id="256005" name="Text Box 5"/>
        <cdr:cNvSpPr txBox="1">
          <a:spLocks xmlns:a="http://schemas.openxmlformats.org/drawingml/2006/main" noChangeArrowheads="1"/>
        </cdr:cNvSpPr>
      </cdr:nvSpPr>
      <cdr:spPr bwMode="auto">
        <a:xfrm xmlns:a="http://schemas.openxmlformats.org/drawingml/2006/main">
          <a:off x="1637198" y="252494"/>
          <a:ext cx="426768" cy="2972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0.30854</cdr:y>
    </cdr:from>
    <cdr:to>
      <cdr:x>0.9211</cdr:x>
      <cdr:y>0.42162</cdr:y>
    </cdr:to>
    <cdr:sp macro="" textlink="">
      <cdr:nvSpPr>
        <cdr:cNvPr id="256006" name="Text Box 6"/>
        <cdr:cNvSpPr txBox="1">
          <a:spLocks xmlns:a="http://schemas.openxmlformats.org/drawingml/2006/main" noChangeArrowheads="1"/>
        </cdr:cNvSpPr>
      </cdr:nvSpPr>
      <cdr:spPr bwMode="auto">
        <a:xfrm xmlns:a="http://schemas.openxmlformats.org/drawingml/2006/main">
          <a:off x="1852642" y="731079"/>
          <a:ext cx="297266"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0.68408</cdr:y>
    </cdr:from>
    <cdr:to>
      <cdr:x>0.91705</cdr:x>
      <cdr:y>0.79954</cdr:y>
    </cdr:to>
    <cdr:sp macro="" textlink="">
      <cdr:nvSpPr>
        <cdr:cNvPr id="256007" name="Text Box 7"/>
        <cdr:cNvSpPr txBox="1">
          <a:spLocks xmlns:a="http://schemas.openxmlformats.org/drawingml/2006/main" noChangeArrowheads="1"/>
        </cdr:cNvSpPr>
      </cdr:nvSpPr>
      <cdr:spPr bwMode="auto">
        <a:xfrm xmlns:a="http://schemas.openxmlformats.org/drawingml/2006/main">
          <a:off x="1852642" y="1634621"/>
          <a:ext cx="281961" cy="2821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C</a:t>
          </a:r>
        </a:p>
      </cdr:txBody>
    </cdr:sp>
  </cdr:relSizeAnchor>
  <cdr:relSizeAnchor xmlns:cdr="http://schemas.openxmlformats.org/drawingml/2006/chartDrawing">
    <cdr:from>
      <cdr:x>0.40977</cdr:x>
      <cdr:y>0.024</cdr:y>
    </cdr:from>
    <cdr:to>
      <cdr:x>0.53218</cdr:x>
      <cdr:y>0.1091</cdr:y>
    </cdr:to>
    <cdr:sp macro="" textlink="">
      <cdr:nvSpPr>
        <cdr:cNvPr id="256008" name="Text Box 8"/>
        <cdr:cNvSpPr txBox="1">
          <a:spLocks xmlns:a="http://schemas.openxmlformats.org/drawingml/2006/main" noChangeArrowheads="1"/>
        </cdr:cNvSpPr>
      </cdr:nvSpPr>
      <cdr:spPr bwMode="auto">
        <a:xfrm xmlns:a="http://schemas.openxmlformats.org/drawingml/2006/main">
          <a:off x="1003009" y="56400"/>
          <a:ext cx="275953" cy="210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0.86417</cdr:x>
      <cdr:y>0.41204</cdr:y>
    </cdr:from>
    <cdr:to>
      <cdr:x>0.98095</cdr:x>
      <cdr:y>0.49687</cdr:y>
    </cdr:to>
    <cdr:sp macro="" textlink="">
      <cdr:nvSpPr>
        <cdr:cNvPr id="5173257" name="Text Box 9"/>
        <cdr:cNvSpPr txBox="1">
          <a:spLocks xmlns:a="http://schemas.openxmlformats.org/drawingml/2006/main" noChangeArrowheads="1"/>
        </cdr:cNvSpPr>
      </cdr:nvSpPr>
      <cdr:spPr bwMode="auto">
        <a:xfrm xmlns:a="http://schemas.openxmlformats.org/drawingml/2006/main">
          <a:off x="2356502" y="1012215"/>
          <a:ext cx="338276" cy="20846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22860" rIns="36576" bIns="22860" anchor="ctr"/>
        <a:lstStyle xmlns:a="http://schemas.openxmlformats.org/drawingml/2006/main"/>
        <a:p xmlns:a="http://schemas.openxmlformats.org/drawingml/2006/main">
          <a:pPr algn="r" rtl="0">
            <a:defRPr sz="1000"/>
          </a:pPr>
          <a:r>
            <a:rPr lang="en-US" altLang="ja-JP"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0.64634</cdr:x>
      <cdr:y>0.01958</cdr:y>
    </cdr:from>
    <cdr:to>
      <cdr:x>0.72869</cdr:x>
      <cdr:y>0.11335</cdr:y>
    </cdr:to>
    <cdr:sp macro="" textlink="">
      <cdr:nvSpPr>
        <cdr:cNvPr id="256010" name="Text Box 10"/>
        <cdr:cNvSpPr txBox="1">
          <a:spLocks xmlns:a="http://schemas.openxmlformats.org/drawingml/2006/main" noChangeArrowheads="1"/>
        </cdr:cNvSpPr>
      </cdr:nvSpPr>
      <cdr:spPr bwMode="auto">
        <a:xfrm xmlns:a="http://schemas.openxmlformats.org/drawingml/2006/main">
          <a:off x="1766882" y="47928"/>
          <a:ext cx="225125"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0.77117</cdr:x>
      <cdr:y>0.01958</cdr:y>
    </cdr:from>
    <cdr:to>
      <cdr:x>0.97064</cdr:x>
      <cdr:y>0.11335</cdr:y>
    </cdr:to>
    <cdr:sp macro="" textlink="">
      <cdr:nvSpPr>
        <cdr:cNvPr id="256011" name="Text Box 11"/>
        <cdr:cNvSpPr txBox="1">
          <a:spLocks xmlns:a="http://schemas.openxmlformats.org/drawingml/2006/main" noChangeArrowheads="1"/>
        </cdr:cNvSpPr>
      </cdr:nvSpPr>
      <cdr:spPr bwMode="auto">
        <a:xfrm xmlns:a="http://schemas.openxmlformats.org/drawingml/2006/main">
          <a:off x="2108137" y="47928"/>
          <a:ext cx="545277"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1.xml><?xml version="1.0" encoding="utf-8"?>
<c:userShapes xmlns:c="http://schemas.openxmlformats.org/drawingml/2006/chart">
  <cdr:relSizeAnchor xmlns:cdr="http://schemas.openxmlformats.org/drawingml/2006/chartDrawing">
    <cdr:from>
      <cdr:x>0.62973</cdr:x>
      <cdr:y>0.17997</cdr:y>
    </cdr:from>
    <cdr:to>
      <cdr:x>0.96966</cdr:x>
      <cdr:y>0.299</cdr:y>
    </cdr:to>
    <cdr:sp macro="" textlink="'結果（2-3レーダー）'!$AB$40">
      <cdr:nvSpPr>
        <cdr:cNvPr id="5337089" name="Text Box 1"/>
        <cdr:cNvSpPr txBox="1">
          <a:spLocks xmlns:a="http://schemas.openxmlformats.org/drawingml/2006/main" noChangeArrowheads="1"/>
        </cdr:cNvSpPr>
      </cdr:nvSpPr>
      <cdr:spPr bwMode="auto">
        <a:xfrm xmlns:a="http://schemas.openxmlformats.org/drawingml/2006/main">
          <a:off x="1538700" y="313440"/>
          <a:ext cx="828890" cy="2052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D773FA06-EEFC-4BDD-B0E0-68AD589D13B2}"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0.62973</cdr:x>
      <cdr:y>0.33656</cdr:y>
    </cdr:from>
    <cdr:to>
      <cdr:x>0.96485</cdr:x>
      <cdr:y>0.44709</cdr:y>
    </cdr:to>
    <cdr:sp macro="" textlink="'結果（2-3レーダー）'!$AB$41">
      <cdr:nvSpPr>
        <cdr:cNvPr id="5337090" name="Text Box 2"/>
        <cdr:cNvSpPr txBox="1">
          <a:spLocks xmlns:a="http://schemas.openxmlformats.org/drawingml/2006/main" noChangeArrowheads="1" noTextEdit="1"/>
        </cdr:cNvSpPr>
      </cdr:nvSpPr>
      <cdr:spPr bwMode="auto">
        <a:xfrm xmlns:a="http://schemas.openxmlformats.org/drawingml/2006/main">
          <a:off x="1538700" y="583409"/>
          <a:ext cx="817174" cy="1905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B29AD7BD-D384-441D-9FF7-D111089FF3A7}" type="TxLink">
            <a:rPr lang="ja-JP" altLang="en-US" sz="900" b="1" i="0" u="none" strike="noStrike" baseline="0">
              <a:solidFill>
                <a:srgbClr val="000000"/>
              </a:solidFill>
              <a:latin typeface="Arial"/>
              <a:cs typeface="Arial"/>
            </a:rPr>
            <a:pPr algn="r" rtl="0">
              <a:defRPr sz="1000"/>
            </a:pPr>
            <a:t>74%</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0.62877</cdr:x>
      <cdr:y>0.5085</cdr:y>
    </cdr:from>
    <cdr:to>
      <cdr:x>0.96605</cdr:x>
      <cdr:y>0.61762</cdr:y>
    </cdr:to>
    <cdr:sp macro="" textlink="'結果（2-3レーダー）'!$AB$42">
      <cdr:nvSpPr>
        <cdr:cNvPr id="5337091" name="Text Box 3"/>
        <cdr:cNvSpPr txBox="1">
          <a:spLocks xmlns:a="http://schemas.openxmlformats.org/drawingml/2006/main" noChangeArrowheads="1" noTextEdit="1"/>
        </cdr:cNvSpPr>
      </cdr:nvSpPr>
      <cdr:spPr bwMode="auto">
        <a:xfrm xmlns:a="http://schemas.openxmlformats.org/drawingml/2006/main">
          <a:off x="1536357" y="879846"/>
          <a:ext cx="822446" cy="1881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A7DCF399-CEBE-4D1E-86EB-1CF247254C67}" type="TxLink">
            <a:rPr lang="ja-JP" altLang="en-US" sz="900" b="1" i="0" u="none" strike="noStrike" baseline="0">
              <a:solidFill>
                <a:srgbClr val="000000"/>
              </a:solidFill>
              <a:latin typeface="Arial"/>
              <a:cs typeface="Arial"/>
            </a:rPr>
            <a:pPr algn="r" rtl="0">
              <a:defRPr sz="1000"/>
            </a:pPr>
            <a:t>74%</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0.60234</cdr:x>
      <cdr:y>0.64809</cdr:y>
    </cdr:from>
    <cdr:to>
      <cdr:x>0.96654</cdr:x>
      <cdr:y>0.78579</cdr:y>
    </cdr:to>
    <cdr:sp macro="" textlink="'結果（2-3レーダー）'!$AB$43">
      <cdr:nvSpPr>
        <cdr:cNvPr id="5337092" name="Text Box 4"/>
        <cdr:cNvSpPr txBox="1">
          <a:spLocks xmlns:a="http://schemas.openxmlformats.org/drawingml/2006/main" noChangeArrowheads="1" noTextEdit="1"/>
        </cdr:cNvSpPr>
      </cdr:nvSpPr>
      <cdr:spPr bwMode="auto">
        <a:xfrm xmlns:a="http://schemas.openxmlformats.org/drawingml/2006/main">
          <a:off x="1471920" y="1120498"/>
          <a:ext cx="888054" cy="23739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8BA5D0F3-E74C-4B1D-A292-373515CAAEA6}" type="TxLink">
            <a:rPr lang="ja-JP" altLang="en-US" sz="900" b="1" i="0" u="none" strike="noStrike" baseline="0">
              <a:solidFill>
                <a:srgbClr val="000000"/>
              </a:solidFill>
              <a:latin typeface="Arial"/>
              <a:cs typeface="Arial"/>
            </a:rPr>
            <a:pPr algn="r" rtl="0">
              <a:defRPr sz="1000"/>
            </a:pPr>
            <a:t>74%</a:t>
          </a:fld>
          <a:endParaRPr lang="ja-JP" altLang="en-US" sz="900" b="1" i="0" u="none" strike="noStrike" baseline="0">
            <a:solidFill>
              <a:srgbClr val="000000"/>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10</xdr:col>
      <xdr:colOff>1066800</xdr:colOff>
      <xdr:row>51</xdr:row>
      <xdr:rowOff>133350</xdr:rowOff>
    </xdr:from>
    <xdr:to>
      <xdr:col>14</xdr:col>
      <xdr:colOff>647700</xdr:colOff>
      <xdr:row>59</xdr:row>
      <xdr:rowOff>161925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51</xdr:row>
      <xdr:rowOff>133350</xdr:rowOff>
    </xdr:from>
    <xdr:to>
      <xdr:col>10</xdr:col>
      <xdr:colOff>885825</xdr:colOff>
      <xdr:row>59</xdr:row>
      <xdr:rowOff>190500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51</xdr:row>
      <xdr:rowOff>114300</xdr:rowOff>
    </xdr:from>
    <xdr:to>
      <xdr:col>6</xdr:col>
      <xdr:colOff>466725</xdr:colOff>
      <xdr:row>59</xdr:row>
      <xdr:rowOff>180975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40</xdr:row>
      <xdr:rowOff>114300</xdr:rowOff>
    </xdr:from>
    <xdr:to>
      <xdr:col>6</xdr:col>
      <xdr:colOff>447675</xdr:colOff>
      <xdr:row>48</xdr:row>
      <xdr:rowOff>133350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1076325</xdr:colOff>
      <xdr:row>40</xdr:row>
      <xdr:rowOff>104775</xdr:rowOff>
    </xdr:from>
    <xdr:to>
      <xdr:col>14</xdr:col>
      <xdr:colOff>647700</xdr:colOff>
      <xdr:row>49</xdr:row>
      <xdr:rowOff>38100</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28575</xdr:colOff>
      <xdr:row>40</xdr:row>
      <xdr:rowOff>95250</xdr:rowOff>
    </xdr:from>
    <xdr:to>
      <xdr:col>10</xdr:col>
      <xdr:colOff>866775</xdr:colOff>
      <xdr:row>49</xdr:row>
      <xdr:rowOff>0</xdr:rowOff>
    </xdr:to>
    <xdr:graphicFrame macro="">
      <xdr:nvGraphicFramePr>
        <xdr:cNvPr id="7" name="Chart 7">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editAs="absolute">
    <xdr:from>
      <xdr:col>1</xdr:col>
      <xdr:colOff>131444</xdr:colOff>
      <xdr:row>24</xdr:row>
      <xdr:rowOff>186690</xdr:rowOff>
    </xdr:from>
    <xdr:to>
      <xdr:col>6</xdr:col>
      <xdr:colOff>360659</xdr:colOff>
      <xdr:row>36</xdr:row>
      <xdr:rowOff>30555</xdr:rowOff>
    </xdr:to>
    <xdr:graphicFrame macro="">
      <xdr:nvGraphicFramePr>
        <xdr:cNvPr id="8" name="Chart 9">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45720</xdr:colOff>
      <xdr:row>23</xdr:row>
      <xdr:rowOff>152400</xdr:rowOff>
    </xdr:from>
    <xdr:to>
      <xdr:col>7</xdr:col>
      <xdr:colOff>7640</xdr:colOff>
      <xdr:row>24</xdr:row>
      <xdr:rowOff>182880</xdr:rowOff>
    </xdr:to>
    <xdr:sp macro="" textlink="">
      <xdr:nvSpPr>
        <xdr:cNvPr id="9" name="Text Box 48">
          <a:extLst>
            <a:ext uri="{FF2B5EF4-FFF2-40B4-BE49-F238E27FC236}">
              <a16:creationId xmlns:a16="http://schemas.microsoft.com/office/drawing/2014/main" id="{00000000-0008-0000-0900-000009000000}"/>
            </a:ext>
          </a:extLst>
        </xdr:cNvPr>
        <xdr:cNvSpPr txBox="1">
          <a:spLocks noChangeArrowheads="1"/>
        </xdr:cNvSpPr>
      </xdr:nvSpPr>
      <xdr:spPr bwMode="auto">
        <a:xfrm>
          <a:off x="102870" y="4352925"/>
          <a:ext cx="3333770" cy="220980"/>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000" b="0" i="0" strike="noStrike">
              <a:solidFill>
                <a:srgbClr val="000000"/>
              </a:solidFill>
              <a:latin typeface="ＭＳ Ｐゴシック"/>
              <a:ea typeface="ＭＳ Ｐゴシック"/>
            </a:rPr>
            <a:t>S: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A: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C: </a:t>
          </a:r>
          <a:r>
            <a:rPr lang="en-US" altLang="ja-JP" sz="1000" b="0" i="0" strike="noStrike">
              <a:solidFill>
                <a:srgbClr val="333333"/>
              </a:solidFill>
              <a:latin typeface="ＭＳ Ｐゴシック"/>
              <a:ea typeface="ＭＳ Ｐゴシック"/>
            </a:rPr>
            <a:t>★</a:t>
          </a:r>
        </a:p>
      </xdr:txBody>
    </xdr:sp>
    <xdr:clientData/>
  </xdr:twoCellAnchor>
  <xdr:twoCellAnchor>
    <xdr:from>
      <xdr:col>2</xdr:col>
      <xdr:colOff>581024</xdr:colOff>
      <xdr:row>20</xdr:row>
      <xdr:rowOff>161926</xdr:rowOff>
    </xdr:from>
    <xdr:to>
      <xdr:col>7</xdr:col>
      <xdr:colOff>66674</xdr:colOff>
      <xdr:row>24</xdr:row>
      <xdr:rowOff>66676</xdr:rowOff>
    </xdr:to>
    <xdr:graphicFrame macro="">
      <xdr:nvGraphicFramePr>
        <xdr:cNvPr id="10" name="Chart 4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428625</xdr:colOff>
      <xdr:row>1</xdr:row>
      <xdr:rowOff>57150</xdr:rowOff>
    </xdr:from>
    <xdr:to>
      <xdr:col>14</xdr:col>
      <xdr:colOff>733425</xdr:colOff>
      <xdr:row>3</xdr:row>
      <xdr:rowOff>114300</xdr:rowOff>
    </xdr:to>
    <xdr:pic>
      <xdr:nvPicPr>
        <xdr:cNvPr id="11" name="Picture 7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9884" t="27533" b="27725"/>
        <a:stretch>
          <a:fillRect/>
        </a:stretch>
      </xdr:blipFill>
      <xdr:spPr bwMode="auto">
        <a:xfrm>
          <a:off x="7219950" y="133350"/>
          <a:ext cx="2762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87630</xdr:colOff>
      <xdr:row>51</xdr:row>
      <xdr:rowOff>0</xdr:rowOff>
    </xdr:from>
    <xdr:ext cx="845040" cy="206467"/>
    <xdr:sp macro="" textlink="">
      <xdr:nvSpPr>
        <xdr:cNvPr id="12" name="Text Box 78">
          <a:extLst>
            <a:ext uri="{FF2B5EF4-FFF2-40B4-BE49-F238E27FC236}">
              <a16:creationId xmlns:a16="http://schemas.microsoft.com/office/drawing/2014/main" id="{00000000-0008-0000-0900-00000C000000}"/>
            </a:ext>
          </a:extLst>
        </xdr:cNvPr>
        <xdr:cNvSpPr txBox="1">
          <a:spLocks noChangeArrowheads="1"/>
        </xdr:cNvSpPr>
      </xdr:nvSpPr>
      <xdr:spPr bwMode="auto">
        <a:xfrm>
          <a:off x="8517255" y="9829800"/>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179070</xdr:colOff>
      <xdr:row>40</xdr:row>
      <xdr:rowOff>0</xdr:rowOff>
    </xdr:from>
    <xdr:ext cx="779957" cy="206467"/>
    <xdr:sp macro="" textlink="">
      <xdr:nvSpPr>
        <xdr:cNvPr id="13" name="Text Box 79">
          <a:extLst>
            <a:ext uri="{FF2B5EF4-FFF2-40B4-BE49-F238E27FC236}">
              <a16:creationId xmlns:a16="http://schemas.microsoft.com/office/drawing/2014/main" id="{00000000-0008-0000-0900-00000D000000}"/>
            </a:ext>
          </a:extLst>
        </xdr:cNvPr>
        <xdr:cNvSpPr txBox="1">
          <a:spLocks noChangeArrowheads="1"/>
        </xdr:cNvSpPr>
      </xdr:nvSpPr>
      <xdr:spPr bwMode="auto">
        <a:xfrm>
          <a:off x="860869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558165</xdr:colOff>
      <xdr:row>40</xdr:row>
      <xdr:rowOff>0</xdr:rowOff>
    </xdr:from>
    <xdr:ext cx="779957" cy="206467"/>
    <xdr:sp macro="" textlink="">
      <xdr:nvSpPr>
        <xdr:cNvPr id="14" name="Text Box 80">
          <a:extLst>
            <a:ext uri="{FF2B5EF4-FFF2-40B4-BE49-F238E27FC236}">
              <a16:creationId xmlns:a16="http://schemas.microsoft.com/office/drawing/2014/main" id="{00000000-0008-0000-0900-00000E000000}"/>
            </a:ext>
          </a:extLst>
        </xdr:cNvPr>
        <xdr:cNvSpPr txBox="1">
          <a:spLocks noChangeArrowheads="1"/>
        </xdr:cNvSpPr>
      </xdr:nvSpPr>
      <xdr:spPr bwMode="auto">
        <a:xfrm>
          <a:off x="518731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491490</xdr:colOff>
      <xdr:row>50</xdr:row>
      <xdr:rowOff>160020</xdr:rowOff>
    </xdr:from>
    <xdr:ext cx="845040" cy="206467"/>
    <xdr:sp macro="" textlink="">
      <xdr:nvSpPr>
        <xdr:cNvPr id="15" name="Text Box 81">
          <a:extLst>
            <a:ext uri="{FF2B5EF4-FFF2-40B4-BE49-F238E27FC236}">
              <a16:creationId xmlns:a16="http://schemas.microsoft.com/office/drawing/2014/main" id="{00000000-0008-0000-0900-00000F000000}"/>
            </a:ext>
          </a:extLst>
        </xdr:cNvPr>
        <xdr:cNvSpPr txBox="1">
          <a:spLocks noChangeArrowheads="1"/>
        </xdr:cNvSpPr>
      </xdr:nvSpPr>
      <xdr:spPr bwMode="auto">
        <a:xfrm>
          <a:off x="4653915" y="971359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238125</xdr:colOff>
      <xdr:row>40</xdr:row>
      <xdr:rowOff>0</xdr:rowOff>
    </xdr:from>
    <xdr:ext cx="779957" cy="206467"/>
    <xdr:sp macro="" textlink="">
      <xdr:nvSpPr>
        <xdr:cNvPr id="16" name="Text Box 82">
          <a:extLst>
            <a:ext uri="{FF2B5EF4-FFF2-40B4-BE49-F238E27FC236}">
              <a16:creationId xmlns:a16="http://schemas.microsoft.com/office/drawing/2014/main" id="{00000000-0008-0000-0900-000010000000}"/>
            </a:ext>
          </a:extLst>
        </xdr:cNvPr>
        <xdr:cNvSpPr txBox="1">
          <a:spLocks noChangeArrowheads="1"/>
        </xdr:cNvSpPr>
      </xdr:nvSpPr>
      <xdr:spPr bwMode="auto">
        <a:xfrm>
          <a:off x="1714500" y="76200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179070</xdr:colOff>
      <xdr:row>50</xdr:row>
      <xdr:rowOff>173355</xdr:rowOff>
    </xdr:from>
    <xdr:ext cx="845040" cy="206467"/>
    <xdr:sp macro="" textlink="">
      <xdr:nvSpPr>
        <xdr:cNvPr id="17" name="Text Box 83">
          <a:extLst>
            <a:ext uri="{FF2B5EF4-FFF2-40B4-BE49-F238E27FC236}">
              <a16:creationId xmlns:a16="http://schemas.microsoft.com/office/drawing/2014/main" id="{00000000-0008-0000-0900-000011000000}"/>
            </a:ext>
          </a:extLst>
        </xdr:cNvPr>
        <xdr:cNvSpPr txBox="1">
          <a:spLocks noChangeArrowheads="1"/>
        </xdr:cNvSpPr>
      </xdr:nvSpPr>
      <xdr:spPr bwMode="auto">
        <a:xfrm>
          <a:off x="1826895" y="981265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1</xdr:col>
      <xdr:colOff>7620</xdr:colOff>
      <xdr:row>69</xdr:row>
      <xdr:rowOff>7620</xdr:rowOff>
    </xdr:from>
    <xdr:to>
      <xdr:col>16</xdr:col>
      <xdr:colOff>7620</xdr:colOff>
      <xdr:row>75</xdr:row>
      <xdr:rowOff>7676</xdr:rowOff>
    </xdr:to>
    <xdr:sp macro="" textlink="">
      <xdr:nvSpPr>
        <xdr:cNvPr id="18" name="Text Box 84">
          <a:extLst>
            <a:ext uri="{FF2B5EF4-FFF2-40B4-BE49-F238E27FC236}">
              <a16:creationId xmlns:a16="http://schemas.microsoft.com/office/drawing/2014/main" id="{00000000-0008-0000-0900-000012000000}"/>
            </a:ext>
          </a:extLst>
        </xdr:cNvPr>
        <xdr:cNvSpPr txBox="1">
          <a:spLocks noChangeArrowheads="1"/>
        </xdr:cNvSpPr>
      </xdr:nvSpPr>
      <xdr:spPr bwMode="auto">
        <a:xfrm>
          <a:off x="64770" y="14571345"/>
          <a:ext cx="10115550" cy="1078230"/>
        </a:xfrm>
        <a:prstGeom prst="rect">
          <a:avLst/>
        </a:prstGeom>
        <a:solidFill>
          <a:srgbClr val="FFFFFF"/>
        </a:solidFill>
        <a:ln w="9525">
          <a:noFill/>
          <a:miter lim="800000"/>
          <a:headEnd/>
          <a:tailEnd/>
        </a:ln>
      </xdr:spPr>
      <xdr:txBody>
        <a:bodyPr vertOverflow="clip" wrap="square" lIns="36576" tIns="18288" rIns="0" bIns="0" anchor="t" upright="1"/>
        <a:lstStyle/>
        <a:p>
          <a:pPr algn="l" rtl="0">
            <a:defRPr sz="1000"/>
          </a:pPr>
          <a:r>
            <a:rPr lang="en-US" altLang="ja-JP" sz="900" b="1" i="0" strike="noStrike">
              <a:solidFill>
                <a:srgbClr val="000000"/>
              </a:solidFill>
              <a:latin typeface="ＭＳ Ｐゴシック"/>
              <a:ea typeface="ＭＳ Ｐゴシック"/>
            </a:rPr>
            <a:t>■CASBEE: Comprehensive Assessment System for Buil</a:t>
          </a:r>
          <a:r>
            <a:rPr lang="ja-JP" altLang="en-US" sz="900" b="1" i="0" strike="noStrike">
              <a:solidFill>
                <a:srgbClr val="000000"/>
              </a:solidFill>
              <a:latin typeface="ＭＳ Ｐゴシック"/>
              <a:ea typeface="ＭＳ Ｐゴシック"/>
            </a:rPr>
            <a:t>ｔ </a:t>
          </a:r>
          <a:r>
            <a:rPr lang="en-US" altLang="ja-JP" sz="900" b="1" i="0" strike="noStrike">
              <a:solidFill>
                <a:srgbClr val="000000"/>
              </a:solidFill>
              <a:latin typeface="ＭＳ Ｐゴシック"/>
              <a:ea typeface="ＭＳ Ｐゴシック"/>
            </a:rPr>
            <a:t>Environment Efficiency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（建築環境総合性能評価システム）</a:t>
          </a:r>
        </a:p>
        <a:p>
          <a:pPr algn="l" rtl="0">
            <a:defRPr sz="1000"/>
          </a:pPr>
          <a:r>
            <a:rPr lang="ja-JP" altLang="en-US" sz="900" b="0" i="0" strike="noStrike">
              <a:solidFill>
                <a:srgbClr val="000000"/>
              </a:solidFill>
              <a:latin typeface="ＭＳ Ｐゴシック"/>
              <a:ea typeface="ＭＳ Ｐゴシック"/>
            </a:rPr>
            <a:t>■</a:t>
          </a:r>
          <a:r>
            <a:rPr lang="en-US" altLang="ja-JP" sz="900" b="1" i="0" strike="noStrike">
              <a:solidFill>
                <a:srgbClr val="000000"/>
              </a:solidFill>
              <a:latin typeface="ＭＳ Ｐゴシック"/>
              <a:ea typeface="ＭＳ Ｐゴシック"/>
            </a:rPr>
            <a:t>Q: Quality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（環境品質）、</a:t>
          </a:r>
          <a:r>
            <a:rPr lang="en-US" altLang="ja-JP" sz="900" b="1" i="0" strike="noStrike">
              <a:solidFill>
                <a:srgbClr val="000000"/>
              </a:solidFill>
              <a:latin typeface="ＭＳ Ｐゴシック"/>
              <a:ea typeface="ＭＳ Ｐゴシック"/>
            </a:rPr>
            <a:t>L: Load </a:t>
          </a:r>
          <a:r>
            <a:rPr lang="ja-JP" altLang="en-US" sz="900" b="0" i="0" strike="noStrike">
              <a:solidFill>
                <a:srgbClr val="000000"/>
              </a:solidFill>
              <a:latin typeface="ＭＳ Ｐゴシック"/>
              <a:ea typeface="ＭＳ Ｐゴシック"/>
            </a:rPr>
            <a:t>（環境負荷）、</a:t>
          </a:r>
          <a:r>
            <a:rPr lang="en-US" altLang="ja-JP" sz="900" b="1" i="0" strike="noStrike">
              <a:solidFill>
                <a:srgbClr val="000000"/>
              </a:solidFill>
              <a:latin typeface="ＭＳ Ｐゴシック"/>
              <a:ea typeface="ＭＳ Ｐゴシック"/>
            </a:rPr>
            <a:t>LR: Load Reduction </a:t>
          </a:r>
          <a:r>
            <a:rPr lang="ja-JP" altLang="en-US" sz="900" b="0" i="0" strike="noStrike">
              <a:solidFill>
                <a:srgbClr val="000000"/>
              </a:solidFill>
              <a:latin typeface="ＭＳ Ｐゴシック"/>
              <a:ea typeface="ＭＳ Ｐゴシック"/>
            </a:rPr>
            <a:t>（環境負荷低減性）、</a:t>
          </a:r>
          <a:r>
            <a:rPr lang="en-US" altLang="ja-JP" sz="900" b="1" i="0" strike="noStrike">
              <a:solidFill>
                <a:srgbClr val="000000"/>
              </a:solidFill>
              <a:latin typeface="ＭＳ Ｐゴシック"/>
              <a:ea typeface="ＭＳ Ｐゴシック"/>
            </a:rPr>
            <a:t>BEE: Buil</a:t>
          </a:r>
          <a:r>
            <a:rPr lang="ja-JP" altLang="en-US" sz="900" b="1" i="0" strike="noStrike">
              <a:solidFill>
                <a:srgbClr val="000000"/>
              </a:solidFill>
              <a:latin typeface="ＭＳ Ｐゴシック"/>
              <a:ea typeface="ＭＳ Ｐゴシック"/>
            </a:rPr>
            <a:t>ｔ</a:t>
          </a:r>
          <a:r>
            <a:rPr lang="en-US" altLang="ja-JP" sz="900" b="1" i="0" strike="noStrike">
              <a:solidFill>
                <a:srgbClr val="000000"/>
              </a:solidFill>
              <a:latin typeface="ＭＳ Ｐゴシック"/>
              <a:ea typeface="ＭＳ Ｐゴシック"/>
            </a:rPr>
            <a:t> Environment Efficiency </a:t>
          </a:r>
          <a:r>
            <a:rPr lang="ja-JP" altLang="en-US" sz="900" b="0" i="0" strike="noStrike">
              <a:solidFill>
                <a:srgbClr val="000000"/>
              </a:solidFill>
              <a:latin typeface="ＭＳ Ｐゴシック"/>
              <a:ea typeface="ＭＳ Ｐゴシック"/>
            </a:rPr>
            <a:t>（環境効率）</a:t>
          </a:r>
        </a:p>
        <a:p>
          <a:pPr algn="l" rtl="0">
            <a:defRPr sz="1000"/>
          </a:pP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全体の表記ルールに従えば、</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戸建</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新築</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の場合、</a:t>
          </a:r>
          <a:r>
            <a:rPr lang="en-US" altLang="ja-JP" sz="900" b="0" i="0" strike="noStrike">
              <a:solidFill>
                <a:srgbClr val="000000"/>
              </a:solidFill>
              <a:latin typeface="ＭＳ Ｐゴシック"/>
              <a:ea typeface="ＭＳ Ｐゴシック"/>
            </a:rPr>
            <a:t>BEE</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などとすべきであるが、本シート上では簡略化のため</a:t>
          </a:r>
          <a:r>
            <a:rPr lang="en-US" altLang="ja-JP" sz="900" b="0" i="0" strike="noStrike">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を省略した</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」とは住宅の部材生産・建設から居住、改修、解体廃棄に至る一生の間の二酸化炭素排出量であり、ここでは住宅の寿命年数と延床面積で除した値を示す</a:t>
          </a:r>
        </a:p>
        <a:p>
          <a:pPr algn="l" rtl="0">
            <a:defRPr sz="1000"/>
          </a:pPr>
          <a:r>
            <a:rPr lang="ja-JP" altLang="en-US" sz="900" b="0" i="0" strike="noStrike">
              <a:solidFill>
                <a:srgbClr val="000000"/>
              </a:solidFill>
              <a:latin typeface="ＭＳ Ｐゴシック"/>
              <a:ea typeface="ＭＳ Ｐゴシック"/>
            </a:rPr>
            <a:t>■評価対象のライフサイクル</a:t>
          </a:r>
          <a:r>
            <a:rPr lang="en-US" altLang="ja-JP" sz="900" b="0" i="0" strike="noStrike">
              <a:solidFill>
                <a:srgbClr val="000000"/>
              </a:solidFill>
              <a:latin typeface="ＭＳ Ｐゴシック"/>
              <a:ea typeface="ＭＳ Ｐゴシック"/>
            </a:rPr>
            <a:t>CO</a:t>
          </a:r>
          <a:r>
            <a:rPr lang="en-US" altLang="ja-JP" sz="6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排出量は、</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H</a:t>
          </a:r>
          <a:r>
            <a:rPr lang="en-US" altLang="ja-JP" sz="9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H</a:t>
          </a:r>
          <a:r>
            <a:rPr lang="en-US" altLang="ja-JP" sz="900" b="0" i="0" strike="noStrike">
              <a:solidFill>
                <a:srgbClr val="000000"/>
              </a:solidFill>
              <a:latin typeface="ＭＳ Ｐゴシック"/>
              <a:ea typeface="ＭＳ Ｐゴシック"/>
            </a:rPr>
            <a:t>1</a:t>
          </a:r>
          <a:r>
            <a:rPr lang="ja-JP" altLang="en-US" sz="900" b="0" i="0" strike="noStrike">
              <a:solidFill>
                <a:srgbClr val="000000"/>
              </a:solidFill>
              <a:latin typeface="ＭＳ Ｐゴシック"/>
              <a:ea typeface="ＭＳ Ｐゴシック"/>
            </a:rPr>
            <a:t>中の住宅の寿命、省エネルギーなどの項目の評価結果から自動的に算出される（「戸建標準計算」の場合）</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の算定条件等については、マニュアルおよび「</a:t>
          </a:r>
          <a:r>
            <a:rPr lang="en-US" altLang="ja-JP" sz="900" b="0" i="0" strike="noStrike">
              <a:solidFill>
                <a:srgbClr val="000000"/>
              </a:solidFill>
              <a:latin typeface="ＭＳ Ｐゴシック"/>
              <a:ea typeface="ＭＳ Ｐゴシック"/>
            </a:rPr>
            <a:t>CO2</a:t>
          </a:r>
          <a:r>
            <a:rPr lang="ja-JP" altLang="en-US" sz="900" b="0" i="0" strike="noStrike">
              <a:solidFill>
                <a:srgbClr val="000000"/>
              </a:solidFill>
              <a:latin typeface="ＭＳ Ｐゴシック"/>
              <a:ea typeface="ＭＳ Ｐゴシック"/>
            </a:rPr>
            <a:t>計算」シートを参照されたい</a:t>
          </a:r>
        </a:p>
      </xdr:txBody>
    </xdr:sp>
    <xdr:clientData/>
  </xdr:twoCellAnchor>
  <xdr:oneCellAnchor>
    <xdr:from>
      <xdr:col>10</xdr:col>
      <xdr:colOff>146193</xdr:colOff>
      <xdr:row>47</xdr:row>
      <xdr:rowOff>119818</xdr:rowOff>
    </xdr:from>
    <xdr:ext cx="378515" cy="135181"/>
    <xdr:sp macro="" textlink="">
      <xdr:nvSpPr>
        <xdr:cNvPr id="19" name="Text Box 85">
          <a:extLst>
            <a:ext uri="{FF2B5EF4-FFF2-40B4-BE49-F238E27FC236}">
              <a16:creationId xmlns:a16="http://schemas.microsoft.com/office/drawing/2014/main" id="{00000000-0008-0000-0900-000013000000}"/>
            </a:ext>
          </a:extLst>
        </xdr:cNvPr>
        <xdr:cNvSpPr txBox="1">
          <a:spLocks noChangeArrowheads="1"/>
        </xdr:cNvSpPr>
      </xdr:nvSpPr>
      <xdr:spPr bwMode="auto">
        <a:xfrm>
          <a:off x="5832618" y="9149518"/>
          <a:ext cx="378515" cy="135181"/>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　機能性</a:t>
          </a:r>
        </a:p>
      </xdr:txBody>
    </xdr:sp>
    <xdr:clientData/>
  </xdr:oneCellAnchor>
  <xdr:twoCellAnchor editAs="oneCell">
    <xdr:from>
      <xdr:col>7</xdr:col>
      <xdr:colOff>285750</xdr:colOff>
      <xdr:row>47</xdr:row>
      <xdr:rowOff>86973</xdr:rowOff>
    </xdr:from>
    <xdr:to>
      <xdr:col>8</xdr:col>
      <xdr:colOff>401638</xdr:colOff>
      <xdr:row>49</xdr:row>
      <xdr:rowOff>19383</xdr:rowOff>
    </xdr:to>
    <xdr:sp macro="" textlink="">
      <xdr:nvSpPr>
        <xdr:cNvPr id="20" name="Text Box 86">
          <a:extLst>
            <a:ext uri="{FF2B5EF4-FFF2-40B4-BE49-F238E27FC236}">
              <a16:creationId xmlns:a16="http://schemas.microsoft.com/office/drawing/2014/main" id="{00000000-0008-0000-0900-000014000000}"/>
            </a:ext>
          </a:extLst>
        </xdr:cNvPr>
        <xdr:cNvSpPr txBox="1">
          <a:spLocks noChangeArrowheads="1"/>
        </xdr:cNvSpPr>
      </xdr:nvSpPr>
      <xdr:spPr bwMode="auto">
        <a:xfrm>
          <a:off x="3714750" y="9116673"/>
          <a:ext cx="835978"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長寿命に対する</a:t>
          </a:r>
        </a:p>
        <a:p>
          <a:pPr algn="ctr" rtl="0">
            <a:defRPr sz="1000"/>
          </a:pPr>
          <a:r>
            <a:rPr lang="ja-JP" altLang="en-US" sz="800" b="0" i="0" strike="noStrike">
              <a:solidFill>
                <a:srgbClr val="000000"/>
              </a:solidFill>
              <a:latin typeface="ＭＳ Ｐゴシック"/>
              <a:ea typeface="ＭＳ Ｐゴシック"/>
            </a:rPr>
            <a:t>基本性能</a:t>
          </a:r>
        </a:p>
      </xdr:txBody>
    </xdr:sp>
    <xdr:clientData/>
  </xdr:twoCellAnchor>
  <xdr:oneCellAnchor>
    <xdr:from>
      <xdr:col>9</xdr:col>
      <xdr:colOff>297180</xdr:colOff>
      <xdr:row>47</xdr:row>
      <xdr:rowOff>119818</xdr:rowOff>
    </xdr:from>
    <xdr:ext cx="478529" cy="133370"/>
    <xdr:sp macro="" textlink="">
      <xdr:nvSpPr>
        <xdr:cNvPr id="21" name="Text Box 87">
          <a:extLst>
            <a:ext uri="{FF2B5EF4-FFF2-40B4-BE49-F238E27FC236}">
              <a16:creationId xmlns:a16="http://schemas.microsoft.com/office/drawing/2014/main" id="{00000000-0008-0000-0900-000015000000}"/>
            </a:ext>
          </a:extLst>
        </xdr:cNvPr>
        <xdr:cNvSpPr txBox="1">
          <a:spLocks noChangeArrowheads="1"/>
        </xdr:cNvSpPr>
      </xdr:nvSpPr>
      <xdr:spPr bwMode="auto">
        <a:xfrm>
          <a:off x="4926330" y="9149518"/>
          <a:ext cx="478529" cy="133370"/>
        </a:xfrm>
        <a:prstGeom prst="rect">
          <a:avLst/>
        </a:prstGeom>
        <a:noFill/>
        <a:ln w="9525">
          <a:noFill/>
          <a:miter lim="800000"/>
          <a:headEnd/>
          <a:tailEnd/>
        </a:ln>
      </xdr:spPr>
      <xdr:txBody>
        <a:bodyPr wrap="none" lIns="0" tIns="0" rIns="0" bIns="0" anchor="ctr" upright="1">
          <a:spAutoFit/>
        </a:bodyPr>
        <a:lstStyle/>
        <a:p>
          <a:pPr algn="l" rtl="0">
            <a:defRPr sz="1000"/>
          </a:pPr>
          <a:r>
            <a:rPr lang="ja-JP" altLang="en-US" sz="800" b="0" i="0" strike="noStrike">
              <a:solidFill>
                <a:srgbClr val="000000"/>
              </a:solidFill>
              <a:latin typeface="ＭＳ Ｐゴシック"/>
              <a:ea typeface="ＭＳ Ｐゴシック"/>
            </a:rPr>
            <a:t>維持管理　</a:t>
          </a:r>
        </a:p>
      </xdr:txBody>
    </xdr:sp>
    <xdr:clientData/>
  </xdr:oneCellAnchor>
  <xdr:twoCellAnchor editAs="oneCell">
    <xdr:from>
      <xdr:col>2</xdr:col>
      <xdr:colOff>125730</xdr:colOff>
      <xdr:row>47</xdr:row>
      <xdr:rowOff>113249</xdr:rowOff>
    </xdr:from>
    <xdr:to>
      <xdr:col>2</xdr:col>
      <xdr:colOff>762413</xdr:colOff>
      <xdr:row>48</xdr:row>
      <xdr:rowOff>59909</xdr:rowOff>
    </xdr:to>
    <xdr:sp macro="" textlink="">
      <xdr:nvSpPr>
        <xdr:cNvPr id="22" name="Text Box 88">
          <a:extLst>
            <a:ext uri="{FF2B5EF4-FFF2-40B4-BE49-F238E27FC236}">
              <a16:creationId xmlns:a16="http://schemas.microsoft.com/office/drawing/2014/main" id="{00000000-0008-0000-0900-000016000000}"/>
            </a:ext>
          </a:extLst>
        </xdr:cNvPr>
        <xdr:cNvSpPr txBox="1">
          <a:spLocks noChangeArrowheads="1"/>
        </xdr:cNvSpPr>
      </xdr:nvSpPr>
      <xdr:spPr bwMode="auto">
        <a:xfrm>
          <a:off x="344805" y="9142949"/>
          <a:ext cx="636683"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暑さ・寒さ　</a:t>
          </a:r>
        </a:p>
      </xdr:txBody>
    </xdr:sp>
    <xdr:clientData/>
  </xdr:twoCellAnchor>
  <xdr:twoCellAnchor editAs="oneCell">
    <xdr:from>
      <xdr:col>2</xdr:col>
      <xdr:colOff>754381</xdr:colOff>
      <xdr:row>47</xdr:row>
      <xdr:rowOff>113248</xdr:rowOff>
    </xdr:from>
    <xdr:to>
      <xdr:col>4</xdr:col>
      <xdr:colOff>95251</xdr:colOff>
      <xdr:row>48</xdr:row>
      <xdr:rowOff>190499</xdr:rowOff>
    </xdr:to>
    <xdr:sp macro="" textlink="">
      <xdr:nvSpPr>
        <xdr:cNvPr id="23" name="Text Box 89">
          <a:extLst>
            <a:ext uri="{FF2B5EF4-FFF2-40B4-BE49-F238E27FC236}">
              <a16:creationId xmlns:a16="http://schemas.microsoft.com/office/drawing/2014/main" id="{00000000-0008-0000-0900-000017000000}"/>
            </a:ext>
          </a:extLst>
        </xdr:cNvPr>
        <xdr:cNvSpPr txBox="1">
          <a:spLocks noChangeArrowheads="1"/>
        </xdr:cNvSpPr>
      </xdr:nvSpPr>
      <xdr:spPr bwMode="auto">
        <a:xfrm>
          <a:off x="952501" y="9059128"/>
          <a:ext cx="609600" cy="267751"/>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健康と安全・安心　</a:t>
          </a:r>
        </a:p>
      </xdr:txBody>
    </xdr:sp>
    <xdr:clientData/>
  </xdr:twoCellAnchor>
  <xdr:twoCellAnchor editAs="oneCell">
    <xdr:from>
      <xdr:col>4</xdr:col>
      <xdr:colOff>167640</xdr:colOff>
      <xdr:row>47</xdr:row>
      <xdr:rowOff>113249</xdr:rowOff>
    </xdr:from>
    <xdr:to>
      <xdr:col>5</xdr:col>
      <xdr:colOff>244164</xdr:colOff>
      <xdr:row>48</xdr:row>
      <xdr:rowOff>59909</xdr:rowOff>
    </xdr:to>
    <xdr:sp macro="" textlink="">
      <xdr:nvSpPr>
        <xdr:cNvPr id="24" name="Text Box 90">
          <a:extLst>
            <a:ext uri="{FF2B5EF4-FFF2-40B4-BE49-F238E27FC236}">
              <a16:creationId xmlns:a16="http://schemas.microsoft.com/office/drawing/2014/main" id="{00000000-0008-0000-0900-000018000000}"/>
            </a:ext>
          </a:extLst>
        </xdr:cNvPr>
        <xdr:cNvSpPr txBox="1">
          <a:spLocks noChangeArrowheads="1"/>
        </xdr:cNvSpPr>
      </xdr:nvSpPr>
      <xdr:spPr bwMode="auto">
        <a:xfrm>
          <a:off x="1815465" y="9142949"/>
          <a:ext cx="594684"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明るさ　</a:t>
          </a:r>
        </a:p>
      </xdr:txBody>
    </xdr:sp>
    <xdr:clientData/>
  </xdr:twoCellAnchor>
  <xdr:twoCellAnchor editAs="oneCell">
    <xdr:from>
      <xdr:col>5</xdr:col>
      <xdr:colOff>381000</xdr:colOff>
      <xdr:row>47</xdr:row>
      <xdr:rowOff>113249</xdr:rowOff>
    </xdr:from>
    <xdr:to>
      <xdr:col>6</xdr:col>
      <xdr:colOff>321945</xdr:colOff>
      <xdr:row>48</xdr:row>
      <xdr:rowOff>59909</xdr:rowOff>
    </xdr:to>
    <xdr:sp macro="" textlink="">
      <xdr:nvSpPr>
        <xdr:cNvPr id="25" name="Text Box 91">
          <a:extLst>
            <a:ext uri="{FF2B5EF4-FFF2-40B4-BE49-F238E27FC236}">
              <a16:creationId xmlns:a16="http://schemas.microsoft.com/office/drawing/2014/main" id="{00000000-0008-0000-0900-000019000000}"/>
            </a:ext>
          </a:extLst>
        </xdr:cNvPr>
        <xdr:cNvSpPr txBox="1">
          <a:spLocks noChangeArrowheads="1"/>
        </xdr:cNvSpPr>
      </xdr:nvSpPr>
      <xdr:spPr bwMode="auto">
        <a:xfrm>
          <a:off x="2543175" y="9142949"/>
          <a:ext cx="582930"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静かさ　</a:t>
          </a:r>
        </a:p>
      </xdr:txBody>
    </xdr:sp>
    <xdr:clientData/>
  </xdr:twoCellAnchor>
  <xdr:twoCellAnchor editAs="oneCell">
    <xdr:from>
      <xdr:col>12</xdr:col>
      <xdr:colOff>125730</xdr:colOff>
      <xdr:row>47</xdr:row>
      <xdr:rowOff>86973</xdr:rowOff>
    </xdr:from>
    <xdr:to>
      <xdr:col>13</xdr:col>
      <xdr:colOff>455</xdr:colOff>
      <xdr:row>49</xdr:row>
      <xdr:rowOff>19383</xdr:rowOff>
    </xdr:to>
    <xdr:sp macro="" textlink="">
      <xdr:nvSpPr>
        <xdr:cNvPr id="26" name="Text Box 92">
          <a:extLst>
            <a:ext uri="{FF2B5EF4-FFF2-40B4-BE49-F238E27FC236}">
              <a16:creationId xmlns:a16="http://schemas.microsoft.com/office/drawing/2014/main" id="{00000000-0008-0000-0900-00001A000000}"/>
            </a:ext>
          </a:extLst>
        </xdr:cNvPr>
        <xdr:cNvSpPr txBox="1">
          <a:spLocks noChangeArrowheads="1"/>
        </xdr:cNvSpPr>
      </xdr:nvSpPr>
      <xdr:spPr bwMode="auto">
        <a:xfrm>
          <a:off x="7736205" y="9116673"/>
          <a:ext cx="609831"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生物環境の保全と創出</a:t>
          </a:r>
        </a:p>
      </xdr:txBody>
    </xdr:sp>
    <xdr:clientData/>
  </xdr:twoCellAnchor>
  <xdr:twoCellAnchor editAs="oneCell">
    <xdr:from>
      <xdr:col>11</xdr:col>
      <xdr:colOff>167640</xdr:colOff>
      <xdr:row>47</xdr:row>
      <xdr:rowOff>86973</xdr:rowOff>
    </xdr:from>
    <xdr:to>
      <xdr:col>12</xdr:col>
      <xdr:colOff>38206</xdr:colOff>
      <xdr:row>49</xdr:row>
      <xdr:rowOff>19383</xdr:rowOff>
    </xdr:to>
    <xdr:sp macro="" textlink="">
      <xdr:nvSpPr>
        <xdr:cNvPr id="27" name="Text Box 93">
          <a:extLst>
            <a:ext uri="{FF2B5EF4-FFF2-40B4-BE49-F238E27FC236}">
              <a16:creationId xmlns:a16="http://schemas.microsoft.com/office/drawing/2014/main" id="{00000000-0008-0000-0900-00001B000000}"/>
            </a:ext>
          </a:extLst>
        </xdr:cNvPr>
        <xdr:cNvSpPr txBox="1">
          <a:spLocks noChangeArrowheads="1"/>
        </xdr:cNvSpPr>
      </xdr:nvSpPr>
      <xdr:spPr bwMode="auto">
        <a:xfrm>
          <a:off x="6958965" y="9116673"/>
          <a:ext cx="689716"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まちなみ・景観への配慮</a:t>
          </a:r>
        </a:p>
      </xdr:txBody>
    </xdr:sp>
    <xdr:clientData/>
  </xdr:twoCellAnchor>
  <xdr:twoCellAnchor editAs="oneCell">
    <xdr:from>
      <xdr:col>13</xdr:col>
      <xdr:colOff>38100</xdr:colOff>
      <xdr:row>47</xdr:row>
      <xdr:rowOff>86973</xdr:rowOff>
    </xdr:from>
    <xdr:to>
      <xdr:col>13</xdr:col>
      <xdr:colOff>590483</xdr:colOff>
      <xdr:row>49</xdr:row>
      <xdr:rowOff>19383</xdr:rowOff>
    </xdr:to>
    <xdr:sp macro="" textlink="">
      <xdr:nvSpPr>
        <xdr:cNvPr id="28" name="Text Box 94">
          <a:extLst>
            <a:ext uri="{FF2B5EF4-FFF2-40B4-BE49-F238E27FC236}">
              <a16:creationId xmlns:a16="http://schemas.microsoft.com/office/drawing/2014/main" id="{00000000-0008-0000-0900-00001C000000}"/>
            </a:ext>
          </a:extLst>
        </xdr:cNvPr>
        <xdr:cNvSpPr txBox="1">
          <a:spLocks noChangeArrowheads="1"/>
        </xdr:cNvSpPr>
      </xdr:nvSpPr>
      <xdr:spPr bwMode="auto">
        <a:xfrm>
          <a:off x="8467725" y="9116673"/>
          <a:ext cx="548573"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地域の</a:t>
          </a:r>
        </a:p>
        <a:p>
          <a:pPr algn="ctr" rtl="0">
            <a:defRPr sz="1000"/>
          </a:pPr>
          <a:r>
            <a:rPr lang="ja-JP" altLang="en-US" sz="800" b="0" i="0" strike="noStrike">
              <a:solidFill>
                <a:srgbClr val="000000"/>
              </a:solidFill>
              <a:latin typeface="ＭＳ Ｐゴシック"/>
              <a:ea typeface="ＭＳ Ｐゴシック"/>
            </a:rPr>
            <a:t>安全・安心　　　　　　　　　</a:t>
          </a:r>
        </a:p>
      </xdr:txBody>
    </xdr:sp>
    <xdr:clientData/>
  </xdr:twoCellAnchor>
  <xdr:twoCellAnchor editAs="oneCell">
    <xdr:from>
      <xdr:col>13</xdr:col>
      <xdr:colOff>628650</xdr:colOff>
      <xdr:row>47</xdr:row>
      <xdr:rowOff>86973</xdr:rowOff>
    </xdr:from>
    <xdr:to>
      <xdr:col>15</xdr:col>
      <xdr:colOff>1222</xdr:colOff>
      <xdr:row>49</xdr:row>
      <xdr:rowOff>19383</xdr:rowOff>
    </xdr:to>
    <xdr:sp macro="" textlink="$X$52">
      <xdr:nvSpPr>
        <xdr:cNvPr id="29" name="Text Box 95">
          <a:extLst>
            <a:ext uri="{FF2B5EF4-FFF2-40B4-BE49-F238E27FC236}">
              <a16:creationId xmlns:a16="http://schemas.microsoft.com/office/drawing/2014/main" id="{00000000-0008-0000-0900-00001D000000}"/>
            </a:ext>
          </a:extLst>
        </xdr:cNvPr>
        <xdr:cNvSpPr txBox="1">
          <a:spLocks noChangeArrowheads="1"/>
        </xdr:cNvSpPr>
      </xdr:nvSpPr>
      <xdr:spPr bwMode="auto">
        <a:xfrm>
          <a:off x="9058275" y="9116673"/>
          <a:ext cx="1010872" cy="309600"/>
        </a:xfrm>
        <a:prstGeom prst="rect">
          <a:avLst/>
        </a:prstGeom>
        <a:noFill/>
        <a:ln w="9525">
          <a:noFill/>
          <a:miter lim="800000"/>
          <a:headEnd/>
          <a:tailEnd/>
        </a:ln>
      </xdr:spPr>
      <xdr:txBody>
        <a:bodyPr vertOverflow="clip" wrap="square" lIns="0" tIns="0" rIns="0" bIns="0" anchor="ctr" upright="1"/>
        <a:lstStyle/>
        <a:p>
          <a:pPr algn="ctr" rtl="0">
            <a:defRPr sz="1000"/>
          </a:pPr>
          <a:fld id="{052AF0DC-DE84-4093-B3C4-27CAA4A33F26}" type="TxLink">
            <a:rPr lang="ja-JP" altLang="en-US" sz="800" b="0" i="0" u="none" strike="noStrike">
              <a:solidFill>
                <a:srgbClr val="000000"/>
              </a:solidFill>
              <a:latin typeface="ＭＳ Ｐゴシック"/>
              <a:ea typeface="ＭＳ Ｐゴシック"/>
            </a:rPr>
            <a:pPr algn="ctr" rtl="0">
              <a:defRPr sz="1000"/>
            </a:pPr>
            <a:t>地域の資源の活用と住文化の継承</a:t>
          </a:fld>
          <a:endParaRPr lang="ja-JP" altLang="en-US" sz="400" b="0" i="0" strike="noStrike">
            <a:solidFill>
              <a:srgbClr val="000000"/>
            </a:solidFill>
            <a:latin typeface="ＭＳ Ｐゴシック"/>
            <a:ea typeface="ＭＳ Ｐゴシック"/>
          </a:endParaRPr>
        </a:p>
      </xdr:txBody>
    </xdr:sp>
    <xdr:clientData/>
  </xdr:twoCellAnchor>
  <xdr:oneCellAnchor>
    <xdr:from>
      <xdr:col>2</xdr:col>
      <xdr:colOff>414481</xdr:colOff>
      <xdr:row>58</xdr:row>
      <xdr:rowOff>119696</xdr:rowOff>
    </xdr:from>
    <xdr:ext cx="409899" cy="266740"/>
    <xdr:sp macro="" textlink="">
      <xdr:nvSpPr>
        <xdr:cNvPr id="30" name="Text Box 96">
          <a:extLst>
            <a:ext uri="{FF2B5EF4-FFF2-40B4-BE49-F238E27FC236}">
              <a16:creationId xmlns:a16="http://schemas.microsoft.com/office/drawing/2014/main" id="{00000000-0008-0000-0900-00001E000000}"/>
            </a:ext>
          </a:extLst>
        </xdr:cNvPr>
        <xdr:cNvSpPr txBox="1">
          <a:spLocks noChangeArrowheads="1"/>
        </xdr:cNvSpPr>
      </xdr:nvSpPr>
      <xdr:spPr bwMode="auto">
        <a:xfrm>
          <a:off x="633556" y="11321096"/>
          <a:ext cx="409899"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総合的な</a:t>
          </a:r>
        </a:p>
        <a:p>
          <a:pPr algn="ctr" rtl="0">
            <a:defRPr sz="1000"/>
          </a:pPr>
          <a:r>
            <a:rPr lang="ja-JP" altLang="en-US" sz="800" b="0" i="0" strike="noStrike">
              <a:solidFill>
                <a:srgbClr val="000000"/>
              </a:solidFill>
              <a:latin typeface="ＭＳ Ｐゴシック"/>
              <a:ea typeface="ＭＳ Ｐゴシック"/>
            </a:rPr>
            <a:t>省エネ</a:t>
          </a:r>
        </a:p>
      </xdr:txBody>
    </xdr:sp>
    <xdr:clientData/>
  </xdr:oneCellAnchor>
  <xdr:oneCellAnchor>
    <xdr:from>
      <xdr:col>10</xdr:col>
      <xdr:colOff>45720</xdr:colOff>
      <xdr:row>58</xdr:row>
      <xdr:rowOff>106680</xdr:rowOff>
    </xdr:from>
    <xdr:ext cx="723900" cy="266740"/>
    <xdr:sp macro="" textlink="">
      <xdr:nvSpPr>
        <xdr:cNvPr id="31" name="Text Box 97">
          <a:extLst>
            <a:ext uri="{FF2B5EF4-FFF2-40B4-BE49-F238E27FC236}">
              <a16:creationId xmlns:a16="http://schemas.microsoft.com/office/drawing/2014/main" id="{00000000-0008-0000-0900-00001F000000}"/>
            </a:ext>
          </a:extLst>
        </xdr:cNvPr>
        <xdr:cNvSpPr txBox="1">
          <a:spLocks noChangeArrowheads="1"/>
        </xdr:cNvSpPr>
      </xdr:nvSpPr>
      <xdr:spPr bwMode="auto">
        <a:xfrm>
          <a:off x="5732145" y="11308080"/>
          <a:ext cx="723900" cy="266740"/>
        </a:xfrm>
        <a:prstGeom prst="rect">
          <a:avLst/>
        </a:prstGeom>
        <a:noFill/>
        <a:ln w="9525">
          <a:noFill/>
          <a:miter lim="800000"/>
          <a:headEnd/>
          <a:tailEnd/>
        </a:ln>
      </xdr:spPr>
      <xdr:txBody>
        <a:bodyPr wrap="square" lIns="0" tIns="0" rIns="0" bIns="0" anchor="t" upright="1">
          <a:spAutoFit/>
        </a:bodyPr>
        <a:lstStyle/>
        <a:p>
          <a:pPr algn="ctr" rtl="0">
            <a:defRPr sz="1000"/>
          </a:pPr>
          <a:r>
            <a:rPr lang="ja-JP" altLang="en-US" sz="800" b="0" i="0" strike="noStrike">
              <a:solidFill>
                <a:srgbClr val="000000"/>
              </a:solidFill>
              <a:latin typeface="ＭＳ Ｐゴシック"/>
              <a:ea typeface="ＭＳ Ｐゴシック"/>
            </a:rPr>
            <a:t>リサイクルの</a:t>
          </a:r>
        </a:p>
        <a:p>
          <a:pPr algn="ctr" rtl="0">
            <a:defRPr sz="1000"/>
          </a:pPr>
          <a:r>
            <a:rPr lang="ja-JP" altLang="en-US" sz="800" b="0" i="0" strike="noStrike">
              <a:solidFill>
                <a:srgbClr val="000000"/>
              </a:solidFill>
              <a:latin typeface="ＭＳ Ｐゴシック"/>
              <a:ea typeface="ＭＳ Ｐゴシック"/>
            </a:rPr>
            <a:t>促進</a:t>
          </a:r>
        </a:p>
      </xdr:txBody>
    </xdr:sp>
    <xdr:clientData/>
  </xdr:oneCellAnchor>
  <xdr:twoCellAnchor editAs="oneCell">
    <xdr:from>
      <xdr:col>11</xdr:col>
      <xdr:colOff>251460</xdr:colOff>
      <xdr:row>58</xdr:row>
      <xdr:rowOff>92490</xdr:rowOff>
    </xdr:from>
    <xdr:to>
      <xdr:col>12</xdr:col>
      <xdr:colOff>321988</xdr:colOff>
      <xdr:row>60</xdr:row>
      <xdr:rowOff>15572</xdr:rowOff>
    </xdr:to>
    <xdr:sp macro="" textlink="">
      <xdr:nvSpPr>
        <xdr:cNvPr id="32" name="Text Box 98">
          <a:extLst>
            <a:ext uri="{FF2B5EF4-FFF2-40B4-BE49-F238E27FC236}">
              <a16:creationId xmlns:a16="http://schemas.microsoft.com/office/drawing/2014/main" id="{00000000-0008-0000-0900-000020000000}"/>
            </a:ext>
          </a:extLst>
        </xdr:cNvPr>
        <xdr:cNvSpPr txBox="1">
          <a:spLocks noChangeArrowheads="1"/>
        </xdr:cNvSpPr>
      </xdr:nvSpPr>
      <xdr:spPr bwMode="auto">
        <a:xfrm>
          <a:off x="7042785" y="11293890"/>
          <a:ext cx="899203" cy="315512"/>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defRPr sz="1000"/>
          </a:pPr>
          <a:r>
            <a:rPr lang="ja-JP" altLang="en-US" sz="800" b="0" i="0" strike="noStrike">
              <a:solidFill>
                <a:srgbClr val="000000"/>
              </a:solidFill>
              <a:latin typeface="ＭＳ Ｐゴシック"/>
              <a:ea typeface="ＭＳ Ｐゴシック"/>
            </a:rPr>
            <a:t>への配慮</a:t>
          </a:r>
        </a:p>
      </xdr:txBody>
    </xdr:sp>
    <xdr:clientData/>
  </xdr:twoCellAnchor>
  <xdr:twoCellAnchor editAs="oneCell">
    <xdr:from>
      <xdr:col>12</xdr:col>
      <xdr:colOff>468630</xdr:colOff>
      <xdr:row>58</xdr:row>
      <xdr:rowOff>92490</xdr:rowOff>
    </xdr:from>
    <xdr:to>
      <xdr:col>13</xdr:col>
      <xdr:colOff>360063</xdr:colOff>
      <xdr:row>60</xdr:row>
      <xdr:rowOff>15572</xdr:rowOff>
    </xdr:to>
    <xdr:sp macro="" textlink="">
      <xdr:nvSpPr>
        <xdr:cNvPr id="33" name="Text Box 99">
          <a:extLst>
            <a:ext uri="{FF2B5EF4-FFF2-40B4-BE49-F238E27FC236}">
              <a16:creationId xmlns:a16="http://schemas.microsoft.com/office/drawing/2014/main" id="{00000000-0008-0000-0900-000021000000}"/>
            </a:ext>
          </a:extLst>
        </xdr:cNvPr>
        <xdr:cNvSpPr txBox="1">
          <a:spLocks noChangeArrowheads="1"/>
        </xdr:cNvSpPr>
      </xdr:nvSpPr>
      <xdr:spPr bwMode="auto">
        <a:xfrm>
          <a:off x="8079105" y="11293890"/>
          <a:ext cx="723918" cy="315512"/>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地域環境へ</a:t>
          </a:r>
        </a:p>
        <a:p>
          <a:pPr algn="ctr" rtl="0">
            <a:defRPr sz="1000"/>
          </a:pPr>
          <a:r>
            <a:rPr lang="ja-JP" altLang="en-US" sz="800" b="0" i="0" strike="noStrike">
              <a:solidFill>
                <a:srgbClr val="000000"/>
              </a:solidFill>
              <a:latin typeface="ＭＳ Ｐゴシック"/>
              <a:ea typeface="ＭＳ Ｐゴシック"/>
            </a:rPr>
            <a:t>の配慮</a:t>
          </a:r>
        </a:p>
      </xdr:txBody>
    </xdr:sp>
    <xdr:clientData/>
  </xdr:twoCellAnchor>
  <xdr:twoCellAnchor editAs="oneCell">
    <xdr:from>
      <xdr:col>13</xdr:col>
      <xdr:colOff>548640</xdr:colOff>
      <xdr:row>58</xdr:row>
      <xdr:rowOff>92490</xdr:rowOff>
    </xdr:from>
    <xdr:to>
      <xdr:col>14</xdr:col>
      <xdr:colOff>510762</xdr:colOff>
      <xdr:row>60</xdr:row>
      <xdr:rowOff>15572</xdr:rowOff>
    </xdr:to>
    <xdr:sp macro="" textlink="">
      <xdr:nvSpPr>
        <xdr:cNvPr id="34" name="Text Box 100">
          <a:extLst>
            <a:ext uri="{FF2B5EF4-FFF2-40B4-BE49-F238E27FC236}">
              <a16:creationId xmlns:a16="http://schemas.microsoft.com/office/drawing/2014/main" id="{00000000-0008-0000-0900-000022000000}"/>
            </a:ext>
          </a:extLst>
        </xdr:cNvPr>
        <xdr:cNvSpPr txBox="1">
          <a:spLocks noChangeArrowheads="1"/>
        </xdr:cNvSpPr>
      </xdr:nvSpPr>
      <xdr:spPr bwMode="auto">
        <a:xfrm>
          <a:off x="8978265" y="11293890"/>
          <a:ext cx="777462" cy="315512"/>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  周辺環境へ</a:t>
          </a:r>
        </a:p>
        <a:p>
          <a:pPr algn="ctr" rtl="0">
            <a:defRPr sz="1000"/>
          </a:pPr>
          <a:r>
            <a:rPr lang="ja-JP" altLang="en-US" sz="800" b="0" i="0" strike="noStrike">
              <a:solidFill>
                <a:srgbClr val="000000"/>
              </a:solidFill>
              <a:latin typeface="ＭＳ Ｐゴシック"/>
              <a:ea typeface="ＭＳ Ｐゴシック"/>
            </a:rPr>
            <a:t>の配慮</a:t>
          </a:r>
        </a:p>
        <a:p>
          <a:pPr algn="ctr" rtl="0">
            <a:defRPr sz="1000"/>
          </a:pPr>
          <a:endParaRPr lang="ja-JP" altLang="en-US" sz="800" b="0" i="0" strike="noStrike">
            <a:solidFill>
              <a:srgbClr val="000000"/>
            </a:solidFill>
            <a:latin typeface="ＭＳ Ｐゴシック"/>
            <a:ea typeface="ＭＳ Ｐゴシック"/>
          </a:endParaRPr>
        </a:p>
      </xdr:txBody>
    </xdr:sp>
    <xdr:clientData/>
  </xdr:twoCellAnchor>
  <xdr:oneCellAnchor>
    <xdr:from>
      <xdr:col>3</xdr:col>
      <xdr:colOff>310715</xdr:colOff>
      <xdr:row>58</xdr:row>
      <xdr:rowOff>123748</xdr:rowOff>
    </xdr:from>
    <xdr:ext cx="419913" cy="133370"/>
    <xdr:sp macro="" textlink="">
      <xdr:nvSpPr>
        <xdr:cNvPr id="35" name="Text Box 102">
          <a:extLst>
            <a:ext uri="{FF2B5EF4-FFF2-40B4-BE49-F238E27FC236}">
              <a16:creationId xmlns:a16="http://schemas.microsoft.com/office/drawing/2014/main" id="{00000000-0008-0000-0900-000023000000}"/>
            </a:ext>
          </a:extLst>
        </xdr:cNvPr>
        <xdr:cNvSpPr txBox="1">
          <a:spLocks noChangeArrowheads="1"/>
        </xdr:cNvSpPr>
      </xdr:nvSpPr>
      <xdr:spPr bwMode="auto">
        <a:xfrm>
          <a:off x="1548965" y="11325148"/>
          <a:ext cx="41991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水の節約</a:t>
          </a:r>
        </a:p>
      </xdr:txBody>
    </xdr:sp>
    <xdr:clientData/>
  </xdr:oneCellAnchor>
  <xdr:oneCellAnchor>
    <xdr:from>
      <xdr:col>5</xdr:col>
      <xdr:colOff>419130</xdr:colOff>
      <xdr:row>58</xdr:row>
      <xdr:rowOff>110171</xdr:rowOff>
    </xdr:from>
    <xdr:ext cx="522460" cy="266740"/>
    <xdr:sp macro="" textlink="">
      <xdr:nvSpPr>
        <xdr:cNvPr id="36" name="Text Box 103">
          <a:extLst>
            <a:ext uri="{FF2B5EF4-FFF2-40B4-BE49-F238E27FC236}">
              <a16:creationId xmlns:a16="http://schemas.microsoft.com/office/drawing/2014/main" id="{00000000-0008-0000-0900-000024000000}"/>
            </a:ext>
          </a:extLst>
        </xdr:cNvPr>
        <xdr:cNvSpPr txBox="1">
          <a:spLocks noChangeArrowheads="1"/>
        </xdr:cNvSpPr>
      </xdr:nvSpPr>
      <xdr:spPr bwMode="auto">
        <a:xfrm>
          <a:off x="2581305" y="11311571"/>
          <a:ext cx="522460"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維持管理と</a:t>
          </a:r>
        </a:p>
        <a:p>
          <a:pPr algn="ctr" rtl="0">
            <a:defRPr sz="1000"/>
          </a:pPr>
          <a:r>
            <a:rPr lang="ja-JP" altLang="en-US" sz="800" b="0" i="0" strike="noStrike">
              <a:solidFill>
                <a:srgbClr val="000000"/>
              </a:solidFill>
              <a:latin typeface="ＭＳ Ｐゴシック"/>
              <a:ea typeface="ＭＳ Ｐゴシック"/>
            </a:rPr>
            <a:t>運用の工夫</a:t>
          </a:r>
        </a:p>
      </xdr:txBody>
    </xdr:sp>
    <xdr:clientData/>
  </xdr:oneCellAnchor>
  <xdr:twoCellAnchor editAs="oneCell">
    <xdr:from>
      <xdr:col>9</xdr:col>
      <xdr:colOff>0</xdr:colOff>
      <xdr:row>58</xdr:row>
      <xdr:rowOff>45720</xdr:rowOff>
    </xdr:from>
    <xdr:to>
      <xdr:col>9</xdr:col>
      <xdr:colOff>948860</xdr:colOff>
      <xdr:row>60</xdr:row>
      <xdr:rowOff>38100</xdr:rowOff>
    </xdr:to>
    <xdr:sp macro="" textlink="">
      <xdr:nvSpPr>
        <xdr:cNvPr id="37" name="Text Box 104">
          <a:extLst>
            <a:ext uri="{FF2B5EF4-FFF2-40B4-BE49-F238E27FC236}">
              <a16:creationId xmlns:a16="http://schemas.microsoft.com/office/drawing/2014/main" id="{00000000-0008-0000-0900-000025000000}"/>
            </a:ext>
          </a:extLst>
        </xdr:cNvPr>
        <xdr:cNvSpPr txBox="1">
          <a:spLocks noChangeArrowheads="1"/>
        </xdr:cNvSpPr>
      </xdr:nvSpPr>
      <xdr:spPr bwMode="auto">
        <a:xfrm>
          <a:off x="4629150" y="11247120"/>
          <a:ext cx="948860" cy="39243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生産・施工段階に</a:t>
          </a:r>
        </a:p>
        <a:p>
          <a:pPr algn="ctr" rtl="0">
            <a:defRPr sz="1000"/>
          </a:pPr>
          <a:r>
            <a:rPr lang="ja-JP" altLang="en-US" sz="800" b="0" i="0" strike="noStrike">
              <a:solidFill>
                <a:srgbClr val="000000"/>
              </a:solidFill>
              <a:latin typeface="ＭＳ Ｐゴシック"/>
              <a:ea typeface="ＭＳ Ｐゴシック"/>
            </a:rPr>
            <a:t>おける廃棄物削減　　　</a:t>
          </a:r>
        </a:p>
      </xdr:txBody>
    </xdr:sp>
    <xdr:clientData/>
  </xdr:twoCellAnchor>
  <xdr:twoCellAnchor editAs="oneCell">
    <xdr:from>
      <xdr:col>7</xdr:col>
      <xdr:colOff>167640</xdr:colOff>
      <xdr:row>58</xdr:row>
      <xdr:rowOff>76200</xdr:rowOff>
    </xdr:from>
    <xdr:to>
      <xdr:col>9</xdr:col>
      <xdr:colOff>53619</xdr:colOff>
      <xdr:row>60</xdr:row>
      <xdr:rowOff>0</xdr:rowOff>
    </xdr:to>
    <xdr:sp macro="" textlink="">
      <xdr:nvSpPr>
        <xdr:cNvPr id="38" name="Text Box 105">
          <a:extLst>
            <a:ext uri="{FF2B5EF4-FFF2-40B4-BE49-F238E27FC236}">
              <a16:creationId xmlns:a16="http://schemas.microsoft.com/office/drawing/2014/main" id="{00000000-0008-0000-0900-000026000000}"/>
            </a:ext>
          </a:extLst>
        </xdr:cNvPr>
        <xdr:cNvSpPr txBox="1">
          <a:spLocks noChangeArrowheads="1"/>
        </xdr:cNvSpPr>
      </xdr:nvSpPr>
      <xdr:spPr bwMode="auto">
        <a:xfrm>
          <a:off x="3596640" y="11277600"/>
          <a:ext cx="1078509" cy="3238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省資源、廃棄物抑制</a:t>
          </a:r>
        </a:p>
        <a:p>
          <a:pPr algn="ctr" rtl="0">
            <a:defRPr sz="1000"/>
          </a:pPr>
          <a:r>
            <a:rPr lang="ja-JP" altLang="en-US" sz="800" b="0" i="0" strike="noStrike">
              <a:solidFill>
                <a:srgbClr val="000000"/>
              </a:solidFill>
              <a:latin typeface="ＭＳ Ｐゴシック"/>
              <a:ea typeface="ＭＳ Ｐゴシック"/>
            </a:rPr>
            <a:t>に役立つ材料の採用</a:t>
          </a:r>
        </a:p>
      </xdr:txBody>
    </xdr:sp>
    <xdr:clientData/>
  </xdr:twoCellAnchor>
  <xdr:twoCellAnchor>
    <xdr:from>
      <xdr:col>11</xdr:col>
      <xdr:colOff>219075</xdr:colOff>
      <xdr:row>55</xdr:row>
      <xdr:rowOff>85725</xdr:rowOff>
    </xdr:from>
    <xdr:to>
      <xdr:col>14</xdr:col>
      <xdr:colOff>600075</xdr:colOff>
      <xdr:row>55</xdr:row>
      <xdr:rowOff>85725</xdr:rowOff>
    </xdr:to>
    <xdr:sp macro="" textlink="">
      <xdr:nvSpPr>
        <xdr:cNvPr id="39" name="Line 8">
          <a:extLst>
            <a:ext uri="{FF2B5EF4-FFF2-40B4-BE49-F238E27FC236}">
              <a16:creationId xmlns:a16="http://schemas.microsoft.com/office/drawing/2014/main" id="{00000000-0008-0000-0900-000027000000}"/>
            </a:ext>
          </a:extLst>
        </xdr:cNvPr>
        <xdr:cNvSpPr>
          <a:spLocks noChangeShapeType="1"/>
        </xdr:cNvSpPr>
      </xdr:nvSpPr>
      <xdr:spPr bwMode="auto">
        <a:xfrm flipV="1">
          <a:off x="7010400" y="10687050"/>
          <a:ext cx="283845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267357</xdr:colOff>
      <xdr:row>55</xdr:row>
      <xdr:rowOff>95250</xdr:rowOff>
    </xdr:from>
    <xdr:to>
      <xdr:col>10</xdr:col>
      <xdr:colOff>838857</xdr:colOff>
      <xdr:row>55</xdr:row>
      <xdr:rowOff>95250</xdr:rowOff>
    </xdr:to>
    <xdr:sp macro="" textlink="">
      <xdr:nvSpPr>
        <xdr:cNvPr id="40" name="Line 27">
          <a:extLst>
            <a:ext uri="{FF2B5EF4-FFF2-40B4-BE49-F238E27FC236}">
              <a16:creationId xmlns:a16="http://schemas.microsoft.com/office/drawing/2014/main" id="{00000000-0008-0000-0900-000028000000}"/>
            </a:ext>
          </a:extLst>
        </xdr:cNvPr>
        <xdr:cNvSpPr>
          <a:spLocks noChangeShapeType="1"/>
        </xdr:cNvSpPr>
      </xdr:nvSpPr>
      <xdr:spPr bwMode="auto">
        <a:xfrm flipV="1">
          <a:off x="3696357" y="10677853"/>
          <a:ext cx="2831224"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87630</xdr:colOff>
      <xdr:row>26</xdr:row>
      <xdr:rowOff>102870</xdr:rowOff>
    </xdr:from>
    <xdr:to>
      <xdr:col>8</xdr:col>
      <xdr:colOff>248371</xdr:colOff>
      <xdr:row>27</xdr:row>
      <xdr:rowOff>140970</xdr:rowOff>
    </xdr:to>
    <xdr:sp macro="" textlink="">
      <xdr:nvSpPr>
        <xdr:cNvPr id="49" name="Text Box 131">
          <a:extLst>
            <a:ext uri="{FF2B5EF4-FFF2-40B4-BE49-F238E27FC236}">
              <a16:creationId xmlns:a16="http://schemas.microsoft.com/office/drawing/2014/main" id="{00000000-0008-0000-0900-000031000000}"/>
            </a:ext>
          </a:extLst>
        </xdr:cNvPr>
        <xdr:cNvSpPr txBox="1">
          <a:spLocks noChangeArrowheads="1"/>
        </xdr:cNvSpPr>
      </xdr:nvSpPr>
      <xdr:spPr bwMode="auto">
        <a:xfrm>
          <a:off x="3516630" y="4874895"/>
          <a:ext cx="894166"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7</xdr:col>
      <xdr:colOff>361950</xdr:colOff>
      <xdr:row>20</xdr:row>
      <xdr:rowOff>171450</xdr:rowOff>
    </xdr:from>
    <xdr:to>
      <xdr:col>10</xdr:col>
      <xdr:colOff>866775</xdr:colOff>
      <xdr:row>25</xdr:row>
      <xdr:rowOff>0</xdr:rowOff>
    </xdr:to>
    <xdr:graphicFrame macro="">
      <xdr:nvGraphicFramePr>
        <xdr:cNvPr id="50" name="Chart 123">
          <a:extLst>
            <a:ext uri="{FF2B5EF4-FFF2-40B4-BE49-F238E27FC236}">
              <a16:creationId xmlns:a16="http://schemas.microsoft.com/office/drawing/2014/main" i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xdr:colOff>
      <xdr:row>24</xdr:row>
      <xdr:rowOff>7620</xdr:rowOff>
    </xdr:from>
    <xdr:to>
      <xdr:col>11</xdr:col>
      <xdr:colOff>85756</xdr:colOff>
      <xdr:row>25</xdr:row>
      <xdr:rowOff>38100</xdr:rowOff>
    </xdr:to>
    <xdr:sp macro="" textlink="">
      <xdr:nvSpPr>
        <xdr:cNvPr id="51" name="Text Box 129">
          <a:extLst>
            <a:ext uri="{FF2B5EF4-FFF2-40B4-BE49-F238E27FC236}">
              <a16:creationId xmlns:a16="http://schemas.microsoft.com/office/drawing/2014/main" id="{00000000-0008-0000-0900-000033000000}"/>
            </a:ext>
          </a:extLst>
        </xdr:cNvPr>
        <xdr:cNvSpPr txBox="1">
          <a:spLocks noChangeArrowheads="1"/>
        </xdr:cNvSpPr>
      </xdr:nvSpPr>
      <xdr:spPr bwMode="auto">
        <a:xfrm>
          <a:off x="3434715" y="4398645"/>
          <a:ext cx="3442366" cy="22098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strike="noStrike">
              <a:solidFill>
                <a:srgbClr val="000000"/>
              </a:solidFill>
              <a:latin typeface="ＭＳ Ｐゴシック"/>
              <a:ea typeface="ＭＳ Ｐゴシック"/>
            </a:rPr>
            <a:t>～</a:t>
          </a:r>
          <a:r>
            <a:rPr lang="en-US" altLang="ja-JP" sz="700" b="0" i="0" strike="noStrike">
              <a:solidFill>
                <a:srgbClr val="000000"/>
              </a:solidFill>
              <a:latin typeface="ＭＳ Ｐゴシック"/>
              <a:ea typeface="ＭＳ Ｐゴシック"/>
            </a:rPr>
            <a:t>0%: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50%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75%</a:t>
          </a:r>
          <a:r>
            <a:rPr lang="en-US" altLang="ja-JP" sz="7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100%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100%</a:t>
          </a:r>
          <a:r>
            <a:rPr lang="ja-JP" altLang="en-US" sz="700" b="0" i="0" strike="noStrike">
              <a:solidFill>
                <a:srgbClr val="333333"/>
              </a:solidFill>
              <a:latin typeface="ＭＳ Ｐゴシック"/>
              <a:ea typeface="ＭＳ Ｐゴシック"/>
            </a:rPr>
            <a:t>超</a:t>
          </a:r>
          <a:r>
            <a:rPr lang="en-US" altLang="ja-JP" sz="700" b="0" i="0" strike="noStrike">
              <a:solidFill>
                <a:srgbClr val="000000"/>
              </a:solidFill>
              <a:latin typeface="ＭＳ Ｐゴシック"/>
              <a:ea typeface="ＭＳ Ｐゴシック"/>
            </a:rPr>
            <a:t>: ☆</a:t>
          </a:r>
        </a:p>
      </xdr:txBody>
    </xdr:sp>
    <xdr:clientData/>
  </xdr:twoCellAnchor>
  <xdr:twoCellAnchor>
    <xdr:from>
      <xdr:col>7</xdr:col>
      <xdr:colOff>87630</xdr:colOff>
      <xdr:row>27</xdr:row>
      <xdr:rowOff>160020</xdr:rowOff>
    </xdr:from>
    <xdr:to>
      <xdr:col>8</xdr:col>
      <xdr:colOff>328482</xdr:colOff>
      <xdr:row>29</xdr:row>
      <xdr:rowOff>7620</xdr:rowOff>
    </xdr:to>
    <xdr:sp macro="" textlink="">
      <xdr:nvSpPr>
        <xdr:cNvPr id="52" name="Text Box 131">
          <a:extLst>
            <a:ext uri="{FF2B5EF4-FFF2-40B4-BE49-F238E27FC236}">
              <a16:creationId xmlns:a16="http://schemas.microsoft.com/office/drawing/2014/main" id="{00000000-0008-0000-0900-000034000000}"/>
            </a:ext>
          </a:extLst>
        </xdr:cNvPr>
        <xdr:cNvSpPr txBox="1">
          <a:spLocks noChangeArrowheads="1"/>
        </xdr:cNvSpPr>
      </xdr:nvSpPr>
      <xdr:spPr bwMode="auto">
        <a:xfrm>
          <a:off x="3516630" y="5122545"/>
          <a:ext cx="974277"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7</xdr:col>
      <xdr:colOff>87630</xdr:colOff>
      <xdr:row>29</xdr:row>
      <xdr:rowOff>60960</xdr:rowOff>
    </xdr:from>
    <xdr:to>
      <xdr:col>8</xdr:col>
      <xdr:colOff>328482</xdr:colOff>
      <xdr:row>31</xdr:row>
      <xdr:rowOff>3960</xdr:rowOff>
    </xdr:to>
    <xdr:sp macro="" textlink="">
      <xdr:nvSpPr>
        <xdr:cNvPr id="53" name="Text Box 131">
          <a:extLst>
            <a:ext uri="{FF2B5EF4-FFF2-40B4-BE49-F238E27FC236}">
              <a16:creationId xmlns:a16="http://schemas.microsoft.com/office/drawing/2014/main" id="{00000000-0008-0000-0900-000035000000}"/>
            </a:ext>
          </a:extLst>
        </xdr:cNvPr>
        <xdr:cNvSpPr txBox="1">
          <a:spLocks noChangeArrowheads="1"/>
        </xdr:cNvSpPr>
      </xdr:nvSpPr>
      <xdr:spPr bwMode="auto">
        <a:xfrm>
          <a:off x="3516630" y="5404485"/>
          <a:ext cx="974277" cy="3240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0">
            <a:defRPr sz="1000"/>
          </a:pPr>
          <a:r>
            <a:rPr lang="ja-JP" altLang="en-US" sz="800" b="0" i="0" strike="noStrike">
              <a:solidFill>
                <a:srgbClr val="000000"/>
              </a:solidFill>
              <a:latin typeface="ＭＳ ゴシック"/>
              <a:ea typeface="ＭＳ ゴシック"/>
            </a:rPr>
            <a:t>　オンサイト手法</a:t>
          </a:r>
        </a:p>
      </xdr:txBody>
    </xdr:sp>
    <xdr:clientData/>
  </xdr:twoCellAnchor>
  <xdr:twoCellAnchor>
    <xdr:from>
      <xdr:col>10</xdr:col>
      <xdr:colOff>167640</xdr:colOff>
      <xdr:row>33</xdr:row>
      <xdr:rowOff>68580</xdr:rowOff>
    </xdr:from>
    <xdr:to>
      <xdr:col>11</xdr:col>
      <xdr:colOff>7808</xdr:colOff>
      <xdr:row>34</xdr:row>
      <xdr:rowOff>83820</xdr:rowOff>
    </xdr:to>
    <xdr:sp macro="" textlink="">
      <xdr:nvSpPr>
        <xdr:cNvPr id="54" name="Text Box 120">
          <a:extLst>
            <a:ext uri="{FF2B5EF4-FFF2-40B4-BE49-F238E27FC236}">
              <a16:creationId xmlns:a16="http://schemas.microsoft.com/office/drawing/2014/main" id="{00000000-0008-0000-0900-000036000000}"/>
            </a:ext>
          </a:extLst>
        </xdr:cNvPr>
        <xdr:cNvSpPr txBox="1">
          <a:spLocks noChangeArrowheads="1"/>
        </xdr:cNvSpPr>
      </xdr:nvSpPr>
      <xdr:spPr bwMode="auto">
        <a:xfrm>
          <a:off x="5854065" y="6174105"/>
          <a:ext cx="945068" cy="20574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8</xdr:col>
      <xdr:colOff>209550</xdr:colOff>
      <xdr:row>25</xdr:row>
      <xdr:rowOff>57150</xdr:rowOff>
    </xdr:from>
    <xdr:to>
      <xdr:col>11</xdr:col>
      <xdr:colOff>9525</xdr:colOff>
      <xdr:row>34</xdr:row>
      <xdr:rowOff>57150</xdr:rowOff>
    </xdr:to>
    <xdr:graphicFrame macro="">
      <xdr:nvGraphicFramePr>
        <xdr:cNvPr id="55" name="Chart 199">
          <a:extLst>
            <a:ext uri="{FF2B5EF4-FFF2-40B4-BE49-F238E27FC236}">
              <a16:creationId xmlns:a16="http://schemas.microsoft.com/office/drawing/2014/main"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80010</xdr:colOff>
      <xdr:row>31</xdr:row>
      <xdr:rowOff>9525</xdr:rowOff>
    </xdr:from>
    <xdr:to>
      <xdr:col>8</xdr:col>
      <xdr:colOff>302694</xdr:colOff>
      <xdr:row>32</xdr:row>
      <xdr:rowOff>143025</xdr:rowOff>
    </xdr:to>
    <xdr:sp macro="" textlink="">
      <xdr:nvSpPr>
        <xdr:cNvPr id="56" name="Text Box 131">
          <a:extLst>
            <a:ext uri="{FF2B5EF4-FFF2-40B4-BE49-F238E27FC236}">
              <a16:creationId xmlns:a16="http://schemas.microsoft.com/office/drawing/2014/main" id="{00000000-0008-0000-0900-000038000000}"/>
            </a:ext>
          </a:extLst>
        </xdr:cNvPr>
        <xdr:cNvSpPr txBox="1">
          <a:spLocks noChangeArrowheads="1"/>
        </xdr:cNvSpPr>
      </xdr:nvSpPr>
      <xdr:spPr bwMode="auto">
        <a:xfrm>
          <a:off x="3509010" y="5734050"/>
          <a:ext cx="956109" cy="3240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0">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3</xdr:col>
      <xdr:colOff>151841</xdr:colOff>
      <xdr:row>27</xdr:row>
      <xdr:rowOff>86285</xdr:rowOff>
    </xdr:from>
    <xdr:to>
      <xdr:col>4</xdr:col>
      <xdr:colOff>100293</xdr:colOff>
      <xdr:row>28</xdr:row>
      <xdr:rowOff>181535</xdr:rowOff>
    </xdr:to>
    <xdr:sp macro="" textlink="$S$13">
      <xdr:nvSpPr>
        <xdr:cNvPr id="57" name="Text Box 25686">
          <a:extLst>
            <a:ext uri="{FF2B5EF4-FFF2-40B4-BE49-F238E27FC236}">
              <a16:creationId xmlns:a16="http://schemas.microsoft.com/office/drawing/2014/main" id="{00000000-0008-0000-0900-000039000000}"/>
            </a:ext>
          </a:extLst>
        </xdr:cNvPr>
        <xdr:cNvSpPr txBox="1">
          <a:spLocks noChangeArrowheads="1" noTextEdit="1"/>
        </xdr:cNvSpPr>
      </xdr:nvSpPr>
      <xdr:spPr bwMode="auto">
        <a:xfrm>
          <a:off x="1384488" y="5061697"/>
          <a:ext cx="36307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fld id="{EEEFA7A4-6165-4033-B215-4FA44F35A8D5}" type="TxLink">
            <a:rPr lang="ja-JP" altLang="en-US" sz="1400" b="1" i="0" u="none" strike="noStrike" baseline="0">
              <a:solidFill>
                <a:srgbClr val="FF0000"/>
              </a:solidFill>
              <a:latin typeface="Arial"/>
              <a:ea typeface="ＭＳ Ｐゴシック"/>
              <a:cs typeface="Arial"/>
            </a:rPr>
            <a:pPr algn="l" rtl="0">
              <a:defRPr sz="1000"/>
            </a:pPr>
            <a:t>2.9</a:t>
          </a:fld>
          <a:endParaRPr lang="ja-JP" altLang="en-US" sz="1400" b="1" i="0" u="none" strike="noStrike" baseline="0">
            <a:solidFill>
              <a:srgbClr val="FF0000"/>
            </a:solidFill>
            <a:latin typeface="Arial"/>
            <a:cs typeface="Arial"/>
          </a:endParaRPr>
        </a:p>
      </xdr:txBody>
    </xdr:sp>
    <xdr:clientData/>
  </xdr:twoCellAnchor>
  <xdr:oneCellAnchor>
    <xdr:from>
      <xdr:col>1</xdr:col>
      <xdr:colOff>0</xdr:colOff>
      <xdr:row>21</xdr:row>
      <xdr:rowOff>179070</xdr:rowOff>
    </xdr:from>
    <xdr:ext cx="514115" cy="219419"/>
    <xdr:sp macro="" textlink="">
      <xdr:nvSpPr>
        <xdr:cNvPr id="58" name="Text Box 39">
          <a:extLst>
            <a:ext uri="{FF2B5EF4-FFF2-40B4-BE49-F238E27FC236}">
              <a16:creationId xmlns:a16="http://schemas.microsoft.com/office/drawing/2014/main" id="{00000000-0008-0000-0900-00003A000000}"/>
            </a:ext>
          </a:extLst>
        </xdr:cNvPr>
        <xdr:cNvSpPr txBox="1">
          <a:spLocks noChangeArrowheads="1"/>
        </xdr:cNvSpPr>
      </xdr:nvSpPr>
      <xdr:spPr bwMode="auto">
        <a:xfrm>
          <a:off x="57150" y="3970020"/>
          <a:ext cx="514115"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a:t>
          </a:r>
        </a:p>
      </xdr:txBody>
    </xdr:sp>
    <xdr:clientData/>
  </xdr:oneCellAnchor>
  <xdr:twoCellAnchor editAs="absolute">
    <xdr:from>
      <xdr:col>11</xdr:col>
      <xdr:colOff>263866</xdr:colOff>
      <xdr:row>20</xdr:row>
      <xdr:rowOff>236331</xdr:rowOff>
    </xdr:from>
    <xdr:to>
      <xdr:col>14</xdr:col>
      <xdr:colOff>534330</xdr:colOff>
      <xdr:row>25</xdr:row>
      <xdr:rowOff>40564</xdr:rowOff>
    </xdr:to>
    <xdr:graphicFrame macro="">
      <xdr:nvGraphicFramePr>
        <xdr:cNvPr id="61" name="Chart 123">
          <a:extLst>
            <a:ext uri="{FF2B5EF4-FFF2-40B4-BE49-F238E27FC236}">
              <a16:creationId xmlns:a16="http://schemas.microsoft.com/office/drawing/2014/main" id="{00000000-0008-0000-09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44024</xdr:colOff>
      <xdr:row>24</xdr:row>
      <xdr:rowOff>136447</xdr:rowOff>
    </xdr:from>
    <xdr:to>
      <xdr:col>15</xdr:col>
      <xdr:colOff>76966</xdr:colOff>
      <xdr:row>36</xdr:row>
      <xdr:rowOff>169460</xdr:rowOff>
    </xdr:to>
    <xdr:grpSp>
      <xdr:nvGrpSpPr>
        <xdr:cNvPr id="44" name="グループ化 43">
          <a:extLst>
            <a:ext uri="{FF2B5EF4-FFF2-40B4-BE49-F238E27FC236}">
              <a16:creationId xmlns:a16="http://schemas.microsoft.com/office/drawing/2014/main" id="{00000000-0008-0000-0900-00002C000000}"/>
            </a:ext>
          </a:extLst>
        </xdr:cNvPr>
        <xdr:cNvGrpSpPr/>
      </xdr:nvGrpSpPr>
      <xdr:grpSpPr>
        <a:xfrm>
          <a:off x="6147644" y="4487467"/>
          <a:ext cx="2989502" cy="2463793"/>
          <a:chOff x="15371766" y="4544169"/>
          <a:chExt cx="3306964" cy="2468275"/>
        </a:xfrm>
      </xdr:grpSpPr>
      <xdr:graphicFrame macro="">
        <xdr:nvGraphicFramePr>
          <xdr:cNvPr id="98" name="グラフ 97">
            <a:extLst>
              <a:ext uri="{FF2B5EF4-FFF2-40B4-BE49-F238E27FC236}">
                <a16:creationId xmlns:a16="http://schemas.microsoft.com/office/drawing/2014/main" id="{00000000-0008-0000-0900-000062000000}"/>
              </a:ext>
            </a:extLst>
          </xdr:cNvPr>
          <xdr:cNvGraphicFramePr>
            <a:graphicFrameLocks noChangeAspect="1"/>
          </xdr:cNvGraphicFramePr>
        </xdr:nvGraphicFramePr>
        <xdr:xfrm>
          <a:off x="16111914" y="4544169"/>
          <a:ext cx="2566816" cy="2378878"/>
        </xdr:xfrm>
        <a:graphic>
          <a:graphicData uri="http://schemas.openxmlformats.org/drawingml/2006/chart">
            <c:chart xmlns:c="http://schemas.openxmlformats.org/drawingml/2006/chart" xmlns:r="http://schemas.openxmlformats.org/officeDocument/2006/relationships" r:id="rId13"/>
          </a:graphicData>
        </a:graphic>
      </xdr:graphicFrame>
      <xdr:sp macro="" textlink="AM42">
        <xdr:nvSpPr>
          <xdr:cNvPr id="62" name="テキスト ボックス 61">
            <a:extLst>
              <a:ext uri="{FF2B5EF4-FFF2-40B4-BE49-F238E27FC236}">
                <a16:creationId xmlns:a16="http://schemas.microsoft.com/office/drawing/2014/main" id="{00000000-0008-0000-0900-00003E000000}"/>
              </a:ext>
            </a:extLst>
          </xdr:cNvPr>
          <xdr:cNvSpPr txBox="1"/>
        </xdr:nvSpPr>
        <xdr:spPr>
          <a:xfrm>
            <a:off x="17838991" y="4806005"/>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9813ECD7-8270-4A7B-8267-629261483ABE}" type="TxLink">
              <a:rPr kumimoji="1" lang="en-US" altLang="en-US" sz="1100" b="0" i="0" u="none" strike="noStrike">
                <a:solidFill>
                  <a:srgbClr val="000000"/>
                </a:solidFill>
                <a:latin typeface="Arial"/>
                <a:ea typeface="游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3">
        <xdr:nvSpPr>
          <xdr:cNvPr id="63" name="テキスト ボックス 62">
            <a:extLst>
              <a:ext uri="{FF2B5EF4-FFF2-40B4-BE49-F238E27FC236}">
                <a16:creationId xmlns:a16="http://schemas.microsoft.com/office/drawing/2014/main" id="{00000000-0008-0000-0900-00003F000000}"/>
              </a:ext>
            </a:extLst>
          </xdr:cNvPr>
          <xdr:cNvSpPr txBox="1"/>
        </xdr:nvSpPr>
        <xdr:spPr>
          <a:xfrm>
            <a:off x="17838991" y="4975294"/>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5E3FCEB-0E91-43F4-8D0B-E99E698F423B}" type="TxLink">
              <a:rPr kumimoji="1" lang="en-US" altLang="en-US" sz="1100" b="0" i="0" u="none" strike="noStrike">
                <a:solidFill>
                  <a:srgbClr val="000000"/>
                </a:solidFill>
                <a:latin typeface="Arial"/>
                <a:ea typeface="游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4">
        <xdr:nvSpPr>
          <xdr:cNvPr id="64" name="テキスト ボックス 63">
            <a:extLst>
              <a:ext uri="{FF2B5EF4-FFF2-40B4-BE49-F238E27FC236}">
                <a16:creationId xmlns:a16="http://schemas.microsoft.com/office/drawing/2014/main" id="{00000000-0008-0000-0900-000040000000}"/>
              </a:ext>
            </a:extLst>
          </xdr:cNvPr>
          <xdr:cNvSpPr txBox="1"/>
        </xdr:nvSpPr>
        <xdr:spPr>
          <a:xfrm>
            <a:off x="17838991" y="5144583"/>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45381441-6C99-4637-A411-C6EA9B91C0E5}" type="TxLink">
              <a:rPr kumimoji="1" lang="en-US" altLang="en-US" sz="1100" b="0" i="0" u="none" strike="noStrike">
                <a:solidFill>
                  <a:srgbClr val="000000"/>
                </a:solidFill>
                <a:latin typeface="Arial"/>
                <a:ea typeface="游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5">
        <xdr:nvSpPr>
          <xdr:cNvPr id="65" name="テキスト ボックス 64">
            <a:extLst>
              <a:ext uri="{FF2B5EF4-FFF2-40B4-BE49-F238E27FC236}">
                <a16:creationId xmlns:a16="http://schemas.microsoft.com/office/drawing/2014/main" id="{00000000-0008-0000-0900-000041000000}"/>
              </a:ext>
            </a:extLst>
          </xdr:cNvPr>
          <xdr:cNvSpPr txBox="1"/>
        </xdr:nvSpPr>
        <xdr:spPr>
          <a:xfrm>
            <a:off x="17838991" y="5313872"/>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BC98B08B-DB8A-4A50-A3F8-754C0A0FC9F1}"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6">
        <xdr:nvSpPr>
          <xdr:cNvPr id="66" name="テキスト ボックス 65">
            <a:extLst>
              <a:ext uri="{FF2B5EF4-FFF2-40B4-BE49-F238E27FC236}">
                <a16:creationId xmlns:a16="http://schemas.microsoft.com/office/drawing/2014/main" id="{00000000-0008-0000-0900-000042000000}"/>
              </a:ext>
            </a:extLst>
          </xdr:cNvPr>
          <xdr:cNvSpPr txBox="1"/>
        </xdr:nvSpPr>
        <xdr:spPr>
          <a:xfrm>
            <a:off x="17838991" y="5483161"/>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94778741-4C14-437D-B953-9444AB18B42E}"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7">
        <xdr:nvSpPr>
          <xdr:cNvPr id="67" name="テキスト ボックス 66">
            <a:extLst>
              <a:ext uri="{FF2B5EF4-FFF2-40B4-BE49-F238E27FC236}">
                <a16:creationId xmlns:a16="http://schemas.microsoft.com/office/drawing/2014/main" id="{00000000-0008-0000-0900-000043000000}"/>
              </a:ext>
            </a:extLst>
          </xdr:cNvPr>
          <xdr:cNvSpPr txBox="1"/>
        </xdr:nvSpPr>
        <xdr:spPr>
          <a:xfrm>
            <a:off x="17838991" y="5652450"/>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B13EAD77-7340-4761-9226-42BE19F6129F}"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8">
        <xdr:nvSpPr>
          <xdr:cNvPr id="68" name="テキスト ボックス 67">
            <a:extLst>
              <a:ext uri="{FF2B5EF4-FFF2-40B4-BE49-F238E27FC236}">
                <a16:creationId xmlns:a16="http://schemas.microsoft.com/office/drawing/2014/main" id="{00000000-0008-0000-0900-000044000000}"/>
              </a:ext>
            </a:extLst>
          </xdr:cNvPr>
          <xdr:cNvSpPr txBox="1"/>
        </xdr:nvSpPr>
        <xdr:spPr>
          <a:xfrm>
            <a:off x="17838991" y="5821739"/>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5E06FD2F-64E2-48DC-968C-F9749935FA24}"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9">
        <xdr:nvSpPr>
          <xdr:cNvPr id="69" name="テキスト ボックス 68">
            <a:extLst>
              <a:ext uri="{FF2B5EF4-FFF2-40B4-BE49-F238E27FC236}">
                <a16:creationId xmlns:a16="http://schemas.microsoft.com/office/drawing/2014/main" id="{00000000-0008-0000-0900-000045000000}"/>
              </a:ext>
            </a:extLst>
          </xdr:cNvPr>
          <xdr:cNvSpPr txBox="1"/>
        </xdr:nvSpPr>
        <xdr:spPr>
          <a:xfrm>
            <a:off x="17838991" y="5991028"/>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CFD3A48-DC64-4DC0-ADD3-560F50AFFCBA}"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50">
        <xdr:nvSpPr>
          <xdr:cNvPr id="70" name="テキスト ボックス 69">
            <a:extLst>
              <a:ext uri="{FF2B5EF4-FFF2-40B4-BE49-F238E27FC236}">
                <a16:creationId xmlns:a16="http://schemas.microsoft.com/office/drawing/2014/main" id="{00000000-0008-0000-0900-000046000000}"/>
              </a:ext>
            </a:extLst>
          </xdr:cNvPr>
          <xdr:cNvSpPr txBox="1"/>
        </xdr:nvSpPr>
        <xdr:spPr>
          <a:xfrm>
            <a:off x="17838991" y="6160317"/>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B9418925-0E40-4641-B46E-66F914D3A4C0}"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51">
        <xdr:nvSpPr>
          <xdr:cNvPr id="71" name="テキスト ボックス 70">
            <a:extLst>
              <a:ext uri="{FF2B5EF4-FFF2-40B4-BE49-F238E27FC236}">
                <a16:creationId xmlns:a16="http://schemas.microsoft.com/office/drawing/2014/main" id="{00000000-0008-0000-0900-000047000000}"/>
              </a:ext>
            </a:extLst>
          </xdr:cNvPr>
          <xdr:cNvSpPr txBox="1"/>
        </xdr:nvSpPr>
        <xdr:spPr>
          <a:xfrm>
            <a:off x="17838991" y="6329606"/>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6FC8B9DD-955C-488F-8752-CD9226822FA1}"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52">
        <xdr:nvSpPr>
          <xdr:cNvPr id="72" name="テキスト ボックス 71">
            <a:extLst>
              <a:ext uri="{FF2B5EF4-FFF2-40B4-BE49-F238E27FC236}">
                <a16:creationId xmlns:a16="http://schemas.microsoft.com/office/drawing/2014/main" id="{00000000-0008-0000-0900-000048000000}"/>
              </a:ext>
            </a:extLst>
          </xdr:cNvPr>
          <xdr:cNvSpPr txBox="1"/>
        </xdr:nvSpPr>
        <xdr:spPr>
          <a:xfrm>
            <a:off x="17838991" y="6498890"/>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351FE7A-920C-4A01-A0A4-5E14B88B898E}"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1">
        <xdr:nvSpPr>
          <xdr:cNvPr id="73" name="テキスト ボックス 72">
            <a:extLst>
              <a:ext uri="{FF2B5EF4-FFF2-40B4-BE49-F238E27FC236}">
                <a16:creationId xmlns:a16="http://schemas.microsoft.com/office/drawing/2014/main" id="{00000000-0008-0000-0900-000049000000}"/>
              </a:ext>
            </a:extLst>
          </xdr:cNvPr>
          <xdr:cNvSpPr txBox="1"/>
        </xdr:nvSpPr>
        <xdr:spPr>
          <a:xfrm>
            <a:off x="17838991" y="4636716"/>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9FC2A166-87DE-4BF8-91B0-F500DB4A77CD}" type="TxLink">
              <a:rPr kumimoji="1" lang="en-US" altLang="en-US" sz="1100" b="0" i="0" u="none" strike="noStrike">
                <a:solidFill>
                  <a:srgbClr val="000000"/>
                </a:solidFill>
                <a:latin typeface="Arial"/>
                <a:ea typeface="游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
        <xdr:nvSpPr>
          <xdr:cNvPr id="74" name="テキスト ボックス 73">
            <a:extLst>
              <a:ext uri="{FF2B5EF4-FFF2-40B4-BE49-F238E27FC236}">
                <a16:creationId xmlns:a16="http://schemas.microsoft.com/office/drawing/2014/main" id="{00000000-0008-0000-0900-00004A000000}"/>
              </a:ext>
            </a:extLst>
          </xdr:cNvPr>
          <xdr:cNvSpPr txBox="1"/>
        </xdr:nvSpPr>
        <xdr:spPr>
          <a:xfrm>
            <a:off x="15466184" y="4659273"/>
            <a:ext cx="705330"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sp macro="" textlink="">
        <xdr:nvSpPr>
          <xdr:cNvPr id="75" name="テキスト ボックス 74">
            <a:extLst>
              <a:ext uri="{FF2B5EF4-FFF2-40B4-BE49-F238E27FC236}">
                <a16:creationId xmlns:a16="http://schemas.microsoft.com/office/drawing/2014/main" id="{00000000-0008-0000-0900-00004B000000}"/>
              </a:ext>
            </a:extLst>
          </xdr:cNvPr>
          <xdr:cNvSpPr txBox="1"/>
        </xdr:nvSpPr>
        <xdr:spPr>
          <a:xfrm>
            <a:off x="15466184" y="4829355"/>
            <a:ext cx="705330"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sp macro="" textlink="">
        <xdr:nvSpPr>
          <xdr:cNvPr id="76" name="テキスト ボックス 75">
            <a:extLst>
              <a:ext uri="{FF2B5EF4-FFF2-40B4-BE49-F238E27FC236}">
                <a16:creationId xmlns:a16="http://schemas.microsoft.com/office/drawing/2014/main" id="{00000000-0008-0000-0900-00004C000000}"/>
              </a:ext>
            </a:extLst>
          </xdr:cNvPr>
          <xdr:cNvSpPr txBox="1"/>
        </xdr:nvSpPr>
        <xdr:spPr>
          <a:xfrm>
            <a:off x="15466184" y="4999437"/>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sp macro="" textlink="">
        <xdr:nvSpPr>
          <xdr:cNvPr id="77" name="テキスト ボックス 76">
            <a:extLst>
              <a:ext uri="{FF2B5EF4-FFF2-40B4-BE49-F238E27FC236}">
                <a16:creationId xmlns:a16="http://schemas.microsoft.com/office/drawing/2014/main" id="{00000000-0008-0000-0900-00004D000000}"/>
              </a:ext>
            </a:extLst>
          </xdr:cNvPr>
          <xdr:cNvSpPr txBox="1"/>
        </xdr:nvSpPr>
        <xdr:spPr>
          <a:xfrm>
            <a:off x="15466184" y="5169519"/>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sp macro="" textlink="">
        <xdr:nvSpPr>
          <xdr:cNvPr id="78" name="テキスト ボックス 77">
            <a:extLst>
              <a:ext uri="{FF2B5EF4-FFF2-40B4-BE49-F238E27FC236}">
                <a16:creationId xmlns:a16="http://schemas.microsoft.com/office/drawing/2014/main" id="{00000000-0008-0000-0900-00004E000000}"/>
              </a:ext>
            </a:extLst>
          </xdr:cNvPr>
          <xdr:cNvSpPr txBox="1"/>
        </xdr:nvSpPr>
        <xdr:spPr>
          <a:xfrm>
            <a:off x="15466184" y="5339601"/>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sp macro="" textlink="">
        <xdr:nvSpPr>
          <xdr:cNvPr id="79" name="テキスト ボックス 78">
            <a:extLst>
              <a:ext uri="{FF2B5EF4-FFF2-40B4-BE49-F238E27FC236}">
                <a16:creationId xmlns:a16="http://schemas.microsoft.com/office/drawing/2014/main" id="{00000000-0008-0000-0900-00004F000000}"/>
              </a:ext>
            </a:extLst>
          </xdr:cNvPr>
          <xdr:cNvSpPr txBox="1"/>
        </xdr:nvSpPr>
        <xdr:spPr>
          <a:xfrm>
            <a:off x="15466184" y="5509683"/>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sp macro="" textlink="">
        <xdr:nvSpPr>
          <xdr:cNvPr id="80" name="テキスト ボックス 79">
            <a:extLst>
              <a:ext uri="{FF2B5EF4-FFF2-40B4-BE49-F238E27FC236}">
                <a16:creationId xmlns:a16="http://schemas.microsoft.com/office/drawing/2014/main" id="{00000000-0008-0000-0900-000050000000}"/>
              </a:ext>
            </a:extLst>
          </xdr:cNvPr>
          <xdr:cNvSpPr txBox="1"/>
        </xdr:nvSpPr>
        <xdr:spPr>
          <a:xfrm>
            <a:off x="15466184" y="5679765"/>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sp macro="" textlink="">
        <xdr:nvSpPr>
          <xdr:cNvPr id="81" name="テキスト ボックス 80">
            <a:extLst>
              <a:ext uri="{FF2B5EF4-FFF2-40B4-BE49-F238E27FC236}">
                <a16:creationId xmlns:a16="http://schemas.microsoft.com/office/drawing/2014/main" id="{00000000-0008-0000-0900-000051000000}"/>
              </a:ext>
            </a:extLst>
          </xdr:cNvPr>
          <xdr:cNvSpPr txBox="1"/>
        </xdr:nvSpPr>
        <xdr:spPr>
          <a:xfrm>
            <a:off x="15466184" y="5849847"/>
            <a:ext cx="705330"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sp macro="" textlink="">
        <xdr:nvSpPr>
          <xdr:cNvPr id="82" name="テキスト ボックス 81">
            <a:extLst>
              <a:ext uri="{FF2B5EF4-FFF2-40B4-BE49-F238E27FC236}">
                <a16:creationId xmlns:a16="http://schemas.microsoft.com/office/drawing/2014/main" id="{00000000-0008-0000-0900-000052000000}"/>
              </a:ext>
            </a:extLst>
          </xdr:cNvPr>
          <xdr:cNvSpPr txBox="1"/>
        </xdr:nvSpPr>
        <xdr:spPr>
          <a:xfrm>
            <a:off x="15466183" y="6019929"/>
            <a:ext cx="807070"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sp macro="" textlink="">
        <xdr:nvSpPr>
          <xdr:cNvPr id="83" name="テキスト ボックス 82">
            <a:extLst>
              <a:ext uri="{FF2B5EF4-FFF2-40B4-BE49-F238E27FC236}">
                <a16:creationId xmlns:a16="http://schemas.microsoft.com/office/drawing/2014/main" id="{00000000-0008-0000-0900-000053000000}"/>
              </a:ext>
            </a:extLst>
          </xdr:cNvPr>
          <xdr:cNvSpPr txBox="1"/>
        </xdr:nvSpPr>
        <xdr:spPr>
          <a:xfrm>
            <a:off x="15466183" y="6190011"/>
            <a:ext cx="812171"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sp macro="" textlink="">
        <xdr:nvSpPr>
          <xdr:cNvPr id="84" name="テキスト ボックス 83">
            <a:extLst>
              <a:ext uri="{FF2B5EF4-FFF2-40B4-BE49-F238E27FC236}">
                <a16:creationId xmlns:a16="http://schemas.microsoft.com/office/drawing/2014/main" id="{00000000-0008-0000-0900-000054000000}"/>
              </a:ext>
            </a:extLst>
          </xdr:cNvPr>
          <xdr:cNvSpPr txBox="1"/>
        </xdr:nvSpPr>
        <xdr:spPr>
          <a:xfrm>
            <a:off x="15466183" y="6530179"/>
            <a:ext cx="812171"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sp macro="" textlink="">
        <xdr:nvSpPr>
          <xdr:cNvPr id="85" name="テキスト ボックス 84">
            <a:extLst>
              <a:ext uri="{FF2B5EF4-FFF2-40B4-BE49-F238E27FC236}">
                <a16:creationId xmlns:a16="http://schemas.microsoft.com/office/drawing/2014/main" id="{00000000-0008-0000-0900-000055000000}"/>
              </a:ext>
            </a:extLst>
          </xdr:cNvPr>
          <xdr:cNvSpPr txBox="1"/>
        </xdr:nvSpPr>
        <xdr:spPr>
          <a:xfrm>
            <a:off x="15466183" y="6360093"/>
            <a:ext cx="812171"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pic>
        <xdr:nvPicPr>
          <xdr:cNvPr id="86" name="図 85">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371766" y="4682673"/>
            <a:ext cx="162966" cy="162000"/>
          </a:xfrm>
          <a:prstGeom prst="rect">
            <a:avLst/>
          </a:prstGeom>
        </xdr:spPr>
      </xdr:pic>
      <xdr:pic>
        <xdr:nvPicPr>
          <xdr:cNvPr id="87" name="図 86">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371766" y="4852755"/>
            <a:ext cx="162966" cy="162000"/>
          </a:xfrm>
          <a:prstGeom prst="rect">
            <a:avLst/>
          </a:prstGeom>
        </xdr:spPr>
      </xdr:pic>
      <xdr:pic>
        <xdr:nvPicPr>
          <xdr:cNvPr id="88" name="図 87">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371766" y="5022837"/>
            <a:ext cx="162966" cy="168145"/>
          </a:xfrm>
          <a:prstGeom prst="rect">
            <a:avLst/>
          </a:prstGeom>
        </xdr:spPr>
      </xdr:pic>
      <xdr:pic>
        <xdr:nvPicPr>
          <xdr:cNvPr id="89" name="図 88">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371766" y="5192919"/>
            <a:ext cx="162966" cy="162000"/>
          </a:xfrm>
          <a:prstGeom prst="rect">
            <a:avLst/>
          </a:prstGeom>
        </xdr:spPr>
      </xdr:pic>
      <xdr:pic>
        <xdr:nvPicPr>
          <xdr:cNvPr id="90" name="図 89">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5371766" y="5363001"/>
            <a:ext cx="162966" cy="162000"/>
          </a:xfrm>
          <a:prstGeom prst="rect">
            <a:avLst/>
          </a:prstGeom>
        </xdr:spPr>
      </xdr:pic>
      <xdr:pic>
        <xdr:nvPicPr>
          <xdr:cNvPr id="91" name="図 90">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371766" y="5533083"/>
            <a:ext cx="162966" cy="162000"/>
          </a:xfrm>
          <a:prstGeom prst="rect">
            <a:avLst/>
          </a:prstGeom>
        </xdr:spPr>
      </xdr:pic>
      <xdr:pic>
        <xdr:nvPicPr>
          <xdr:cNvPr id="92" name="図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5371766" y="5703165"/>
            <a:ext cx="163056" cy="162000"/>
          </a:xfrm>
          <a:prstGeom prst="rect">
            <a:avLst/>
          </a:prstGeom>
        </xdr:spPr>
      </xdr:pic>
      <xdr:pic>
        <xdr:nvPicPr>
          <xdr:cNvPr id="93" name="図 92">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371766" y="5873247"/>
            <a:ext cx="162979" cy="162000"/>
          </a:xfrm>
          <a:prstGeom prst="rect">
            <a:avLst/>
          </a:prstGeom>
        </xdr:spPr>
      </xdr:pic>
      <xdr:pic>
        <xdr:nvPicPr>
          <xdr:cNvPr id="94" name="図 93">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371766" y="6043329"/>
            <a:ext cx="162979" cy="162000"/>
          </a:xfrm>
          <a:prstGeom prst="rect">
            <a:avLst/>
          </a:prstGeom>
        </xdr:spPr>
      </xdr:pic>
      <xdr:pic>
        <xdr:nvPicPr>
          <xdr:cNvPr id="95" name="図 94">
            <a:extLst>
              <a:ext uri="{FF2B5EF4-FFF2-40B4-BE49-F238E27FC236}">
                <a16:creationId xmlns:a16="http://schemas.microsoft.com/office/drawing/2014/main" id="{00000000-0008-0000-0900-00005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371766" y="6213411"/>
            <a:ext cx="162979" cy="162000"/>
          </a:xfrm>
          <a:prstGeom prst="rect">
            <a:avLst/>
          </a:prstGeom>
        </xdr:spPr>
      </xdr:pic>
      <xdr:pic>
        <xdr:nvPicPr>
          <xdr:cNvPr id="96" name="図 95">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371766" y="6383493"/>
            <a:ext cx="162979" cy="162000"/>
          </a:xfrm>
          <a:prstGeom prst="rect">
            <a:avLst/>
          </a:prstGeom>
        </xdr:spPr>
      </xdr:pic>
      <xdr:pic>
        <xdr:nvPicPr>
          <xdr:cNvPr id="97" name="図 96">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371766" y="6553579"/>
            <a:ext cx="162957" cy="162000"/>
          </a:xfrm>
          <a:prstGeom prst="rect">
            <a:avLst/>
          </a:prstGeom>
        </xdr:spPr>
      </xdr:pic>
      <xdr:sp macro="" textlink="">
        <xdr:nvSpPr>
          <xdr:cNvPr id="41" name="テキスト ボックス 40">
            <a:extLst>
              <a:ext uri="{FF2B5EF4-FFF2-40B4-BE49-F238E27FC236}">
                <a16:creationId xmlns:a16="http://schemas.microsoft.com/office/drawing/2014/main" id="{00000000-0008-0000-0900-000029000000}"/>
              </a:ext>
            </a:extLst>
          </xdr:cNvPr>
          <xdr:cNvSpPr txBox="1"/>
        </xdr:nvSpPr>
        <xdr:spPr>
          <a:xfrm>
            <a:off x="15401759" y="6822433"/>
            <a:ext cx="2686001" cy="190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Arial" panose="020B0604020202020204" pitchFamily="34" charset="0"/>
                <a:cs typeface="Arial" panose="020B0604020202020204" pitchFamily="34" charset="0"/>
              </a:rPr>
              <a:t>* SDG1,2,10,14,16</a:t>
            </a:r>
            <a:r>
              <a:rPr kumimoji="1" lang="ja-JP" altLang="en-US" sz="800"/>
              <a:t>は他のゴールに集約されています</a:t>
            </a:r>
          </a:p>
        </xdr:txBody>
      </xdr:sp>
    </xdr:grpSp>
    <xdr:clientData/>
  </xdr:twoCellAnchor>
  <xdr:twoCellAnchor editAs="oneCell">
    <xdr:from>
      <xdr:col>1</xdr:col>
      <xdr:colOff>85725</xdr:colOff>
      <xdr:row>1</xdr:row>
      <xdr:rowOff>38100</xdr:rowOff>
    </xdr:from>
    <xdr:to>
      <xdr:col>11</xdr:col>
      <xdr:colOff>56340</xdr:colOff>
      <xdr:row>4</xdr:row>
      <xdr:rowOff>19014</xdr:rowOff>
    </xdr:to>
    <xdr:pic>
      <xdr:nvPicPr>
        <xdr:cNvPr id="43" name="図 42">
          <a:extLst>
            <a:ext uri="{FF2B5EF4-FFF2-40B4-BE49-F238E27FC236}">
              <a16:creationId xmlns:a16="http://schemas.microsoft.com/office/drawing/2014/main" id="{996143B3-5D88-4899-9B01-C33DCC6F15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42875" y="114300"/>
          <a:ext cx="6026610" cy="72195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0.16542</cdr:x>
      <cdr:y>0.65688</cdr:y>
    </cdr:from>
    <cdr:to>
      <cdr:x>0.32156</cdr:x>
      <cdr:y>0.77684</cdr:y>
    </cdr:to>
    <cdr:sp macro="" textlink="'結果 (2-3SDGs)'!$Z$59">
      <cdr:nvSpPr>
        <cdr:cNvPr id="5326849" name="Text Box 1"/>
        <cdr:cNvSpPr txBox="1">
          <a:spLocks xmlns:a="http://schemas.openxmlformats.org/drawingml/2006/main" noChangeArrowheads="1" noTextEdit="1"/>
        </cdr:cNvSpPr>
      </cdr:nvSpPr>
      <cdr:spPr bwMode="auto">
        <a:xfrm xmlns:a="http://schemas.openxmlformats.org/drawingml/2006/main">
          <a:off x="524716" y="1060576"/>
          <a:ext cx="492262" cy="1930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fld id="{A2CFAB62-63B1-4863-A4E1-CDE75C80A7F3}" type="TxLink">
            <a:rPr lang="ja-JP" altLang="en-US" sz="1100" b="0" i="0" u="none" strike="noStrike" baseline="0">
              <a:solidFill>
                <a:srgbClr val="000000"/>
              </a:solidFill>
              <a:latin typeface="Arial"/>
              <a:cs typeface="Arial"/>
            </a:rPr>
            <a:pPr algn="l" rtl="0">
              <a:defRPr sz="1000"/>
            </a:pPr>
            <a:t> </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0.45566</cdr:x>
      <cdr:y>0.65016</cdr:y>
    </cdr:from>
    <cdr:to>
      <cdr:x>0.61596</cdr:x>
      <cdr:y>0.77953</cdr:y>
    </cdr:to>
    <cdr:sp macro="" textlink="'結果 (2-3SDGs)'!$Z$60">
      <cdr:nvSpPr>
        <cdr:cNvPr id="248834" name="Text Box 2"/>
        <cdr:cNvSpPr txBox="1">
          <a:spLocks xmlns:a="http://schemas.openxmlformats.org/drawingml/2006/main" noChangeArrowheads="1" noTextEdit="1"/>
        </cdr:cNvSpPr>
      </cdr:nvSpPr>
      <cdr:spPr bwMode="auto">
        <a:xfrm xmlns:a="http://schemas.openxmlformats.org/drawingml/2006/main">
          <a:off x="1296857" y="1027943"/>
          <a:ext cx="444531" cy="2076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0.75086</cdr:x>
      <cdr:y>0.68117</cdr:y>
    </cdr:from>
    <cdr:to>
      <cdr:x>0.90576</cdr:x>
      <cdr:y>0.81197</cdr:y>
    </cdr:to>
    <cdr:sp macro="" textlink="'結果 (2-3SDGs)'!$Z$61">
      <cdr:nvSpPr>
        <cdr:cNvPr id="248835" name="Text Box 3"/>
        <cdr:cNvSpPr txBox="1">
          <a:spLocks xmlns:a="http://schemas.openxmlformats.org/drawingml/2006/main" noChangeArrowheads="1" noTextEdit="1"/>
        </cdr:cNvSpPr>
      </cdr:nvSpPr>
      <cdr:spPr bwMode="auto">
        <a:xfrm xmlns:a="http://schemas.openxmlformats.org/drawingml/2006/main">
          <a:off x="2190024" y="1077465"/>
          <a:ext cx="441796" cy="2076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xml><?xml version="1.0" encoding="utf-8"?>
<c:userShapes xmlns:c="http://schemas.openxmlformats.org/drawingml/2006/chart">
  <cdr:relSizeAnchor xmlns:cdr="http://schemas.openxmlformats.org/drawingml/2006/chartDrawing">
    <cdr:from>
      <cdr:x>0.13162</cdr:x>
      <cdr:y>0.65117</cdr:y>
    </cdr:from>
    <cdr:to>
      <cdr:x>0.30224</cdr:x>
      <cdr:y>0.78562</cdr:y>
    </cdr:to>
    <cdr:sp macro="" textlink="'結果 (2-3SDGs)'!$W$59">
      <cdr:nvSpPr>
        <cdr:cNvPr id="5327873" name="Text Box 1"/>
        <cdr:cNvSpPr txBox="1">
          <a:spLocks xmlns:a="http://schemas.openxmlformats.org/drawingml/2006/main" noChangeArrowheads="1"/>
        </cdr:cNvSpPr>
      </cdr:nvSpPr>
      <cdr:spPr bwMode="auto">
        <a:xfrm xmlns:a="http://schemas.openxmlformats.org/drawingml/2006/main">
          <a:off x="413131" y="1069985"/>
          <a:ext cx="531419"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0.43432</cdr:x>
      <cdr:y>0.63374</cdr:y>
    </cdr:from>
    <cdr:to>
      <cdr:x>0.603</cdr:x>
      <cdr:y>0.76819</cdr:y>
    </cdr:to>
    <cdr:sp macro="" textlink="'結果 (2-3SDGs)'!$W$60">
      <cdr:nvSpPr>
        <cdr:cNvPr id="5327874" name="Text Box 2"/>
        <cdr:cNvSpPr txBox="1">
          <a:spLocks xmlns:a="http://schemas.openxmlformats.org/drawingml/2006/main" noChangeArrowheads="1"/>
        </cdr:cNvSpPr>
      </cdr:nvSpPr>
      <cdr:spPr bwMode="auto">
        <a:xfrm xmlns:a="http://schemas.openxmlformats.org/drawingml/2006/main">
          <a:off x="1355946" y="1041438"/>
          <a:ext cx="525380"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0.74357</cdr:x>
      <cdr:y>0.65282</cdr:y>
    </cdr:from>
    <cdr:to>
      <cdr:x>0.91128</cdr:x>
      <cdr:y>0.78562</cdr:y>
    </cdr:to>
    <cdr:sp macro="" textlink="'結果 (2-3SDGs)'!$W$61">
      <cdr:nvSpPr>
        <cdr:cNvPr id="5327875" name="Text Box 3"/>
        <cdr:cNvSpPr txBox="1">
          <a:spLocks xmlns:a="http://schemas.openxmlformats.org/drawingml/2006/main" noChangeArrowheads="1"/>
        </cdr:cNvSpPr>
      </cdr:nvSpPr>
      <cdr:spPr bwMode="auto">
        <a:xfrm xmlns:a="http://schemas.openxmlformats.org/drawingml/2006/main">
          <a:off x="2319143" y="1072685"/>
          <a:ext cx="522361" cy="2175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xml><?xml version="1.0" encoding="utf-8"?>
<c:userShapes xmlns:c="http://schemas.openxmlformats.org/drawingml/2006/chart">
  <cdr:relSizeAnchor xmlns:cdr="http://schemas.openxmlformats.org/drawingml/2006/chartDrawing">
    <cdr:from>
      <cdr:x>0.07619</cdr:x>
      <cdr:y>0.4532</cdr:y>
    </cdr:from>
    <cdr:to>
      <cdr:x>0.97639</cdr:x>
      <cdr:y>0.4532</cdr:y>
    </cdr:to>
    <cdr:sp macro="" textlink="">
      <cdr:nvSpPr>
        <cdr:cNvPr id="2977793" name="Line 1"/>
        <cdr:cNvSpPr>
          <a:spLocks xmlns:a="http://schemas.openxmlformats.org/drawingml/2006/main" noChangeShapeType="1"/>
        </cdr:cNvSpPr>
      </cdr:nvSpPr>
      <cdr:spPr bwMode="auto">
        <a:xfrm xmlns:a="http://schemas.openxmlformats.org/drawingml/2006/main" flipV="1">
          <a:off x="237968" y="735776"/>
          <a:ext cx="2811518"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0.14549</cdr:x>
      <cdr:y>0.6393</cdr:y>
    </cdr:from>
    <cdr:to>
      <cdr:x>0.30452</cdr:x>
      <cdr:y>0.77705</cdr:y>
    </cdr:to>
    <cdr:sp macro="" textlink="'結果 (2-3SDGs)'!$T$59">
      <cdr:nvSpPr>
        <cdr:cNvPr id="5328898" name="Text Box 2"/>
        <cdr:cNvSpPr txBox="1">
          <a:spLocks xmlns:a="http://schemas.openxmlformats.org/drawingml/2006/main" noChangeArrowheads="1"/>
        </cdr:cNvSpPr>
      </cdr:nvSpPr>
      <cdr:spPr bwMode="auto">
        <a:xfrm xmlns:a="http://schemas.openxmlformats.org/drawingml/2006/main">
          <a:off x="454545" y="1047369"/>
          <a:ext cx="496842" cy="225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pPr algn="l" rtl="0">
            <a:defRPr sz="1000"/>
          </a:pPr>
          <a:fld id="{0671EBA3-4C1A-46C1-BAE8-17A7BF0D48D4}" type="TxLink">
            <a:rPr lang="en-US" altLang="en-US" sz="1100" b="0" i="0" u="none" strike="noStrike" baseline="0">
              <a:solidFill>
                <a:srgbClr val="000000"/>
              </a:solidFill>
              <a:latin typeface="Arial"/>
              <a:cs typeface="Arial"/>
            </a:rPr>
            <a:pPr algn="l" rtl="0">
              <a:defRPr sz="1000"/>
            </a:pPr>
            <a:t> </a:t>
          </a:fld>
          <a:endParaRPr lang="ja-JP" altLang="en-US" sz="1100" b="0" i="0" u="none" strike="noStrike" baseline="0">
            <a:solidFill>
              <a:srgbClr val="000000"/>
            </a:solidFill>
            <a:latin typeface="Calibri"/>
            <a:cs typeface="Calibri"/>
          </a:endParaRPr>
        </a:p>
      </cdr:txBody>
    </cdr:sp>
  </cdr:relSizeAnchor>
  <cdr:relSizeAnchor xmlns:cdr="http://schemas.openxmlformats.org/drawingml/2006/chartDrawing">
    <cdr:from>
      <cdr:x>0.44735</cdr:x>
      <cdr:y>0.64462</cdr:y>
    </cdr:from>
    <cdr:to>
      <cdr:x>0.61385</cdr:x>
      <cdr:y>0.78169</cdr:y>
    </cdr:to>
    <cdr:sp macro="" textlink="'結果 (2-3SDGs)'!$T$60">
      <cdr:nvSpPr>
        <cdr:cNvPr id="250884" name="Text Box 4"/>
        <cdr:cNvSpPr txBox="1">
          <a:spLocks xmlns:a="http://schemas.openxmlformats.org/drawingml/2006/main" noChangeArrowheads="1" noTextEdit="1"/>
        </cdr:cNvSpPr>
      </cdr:nvSpPr>
      <cdr:spPr bwMode="auto">
        <a:xfrm xmlns:a="http://schemas.openxmlformats.org/drawingml/2006/main">
          <a:off x="1397599" y="1056081"/>
          <a:ext cx="520180" cy="2245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0.74501</cdr:x>
      <cdr:y>0.64521</cdr:y>
    </cdr:from>
    <cdr:to>
      <cdr:x>0.90573</cdr:x>
      <cdr:y>0.77518</cdr:y>
    </cdr:to>
    <cdr:sp macro="" textlink="'結果 (2-3SDGs)'!$T$61">
      <cdr:nvSpPr>
        <cdr:cNvPr id="5328901" name="Text Box 5"/>
        <cdr:cNvSpPr txBox="1">
          <a:spLocks xmlns:a="http://schemas.openxmlformats.org/drawingml/2006/main" noChangeArrowheads="1"/>
        </cdr:cNvSpPr>
      </cdr:nvSpPr>
      <cdr:spPr bwMode="auto">
        <a:xfrm xmlns:a="http://schemas.openxmlformats.org/drawingml/2006/main">
          <a:off x="2327571" y="1057054"/>
          <a:ext cx="502121" cy="2129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xml><?xml version="1.0" encoding="utf-8"?>
<c:userShapes xmlns:c="http://schemas.openxmlformats.org/drawingml/2006/chart">
  <cdr:relSizeAnchor xmlns:cdr="http://schemas.openxmlformats.org/drawingml/2006/chartDrawing">
    <cdr:from>
      <cdr:x>0.09539</cdr:x>
      <cdr:y>0.46912</cdr:y>
    </cdr:from>
    <cdr:to>
      <cdr:x>0.97907</cdr:x>
      <cdr:y>0.46912</cdr:y>
    </cdr:to>
    <cdr:sp macro="" textlink="">
      <cdr:nvSpPr>
        <cdr:cNvPr id="251905" name="Line 1"/>
        <cdr:cNvSpPr>
          <a:spLocks xmlns:a="http://schemas.openxmlformats.org/drawingml/2006/main" noChangeShapeType="1"/>
        </cdr:cNvSpPr>
      </cdr:nvSpPr>
      <cdr:spPr bwMode="auto">
        <a:xfrm xmlns:a="http://schemas.openxmlformats.org/drawingml/2006/main" flipV="1">
          <a:off x="300636" y="723869"/>
          <a:ext cx="278517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0.13148</cdr:x>
      <cdr:y>0.68624</cdr:y>
    </cdr:from>
    <cdr:to>
      <cdr:x>0.26143</cdr:x>
      <cdr:y>0.8299</cdr:y>
    </cdr:to>
    <cdr:sp macro="" textlink="'結果 (2-3SDGs)'!$T$49">
      <cdr:nvSpPr>
        <cdr:cNvPr id="251906" name="Text Box 2"/>
        <cdr:cNvSpPr txBox="1">
          <a:spLocks xmlns:a="http://schemas.openxmlformats.org/drawingml/2006/main" noChangeArrowheads="1" noTextEdit="1"/>
        </cdr:cNvSpPr>
      </cdr:nvSpPr>
      <cdr:spPr bwMode="auto">
        <a:xfrm xmlns:a="http://schemas.openxmlformats.org/drawingml/2006/main">
          <a:off x="387276" y="1030482"/>
          <a:ext cx="385033"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cdr:x>
      <cdr:y>0.69839</cdr:y>
    </cdr:from>
    <cdr:to>
      <cdr:x>0.49608</cdr:x>
      <cdr:y>0.84228</cdr:y>
    </cdr:to>
    <cdr:sp macro="" textlink="'結果 (2-3SDGs)'!$T$50">
      <cdr:nvSpPr>
        <cdr:cNvPr id="251907" name="Text Box 3"/>
        <cdr:cNvSpPr txBox="1">
          <a:spLocks xmlns:a="http://schemas.openxmlformats.org/drawingml/2006/main" noChangeArrowheads="1" noTextEdit="1"/>
        </cdr:cNvSpPr>
      </cdr:nvSpPr>
      <cdr:spPr bwMode="auto">
        <a:xfrm xmlns:a="http://schemas.openxmlformats.org/drawingml/2006/main">
          <a:off x="985684" y="1030482"/>
          <a:ext cx="427435"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0.57905</cdr:x>
      <cdr:y>0.69712</cdr:y>
    </cdr:from>
    <cdr:to>
      <cdr:x>0.70828</cdr:x>
      <cdr:y>0.8419</cdr:y>
    </cdr:to>
    <cdr:sp macro="" textlink="'結果 (2-3SDGs)'!$T$51">
      <cdr:nvSpPr>
        <cdr:cNvPr id="5329924" name="Text Box 4"/>
        <cdr:cNvSpPr txBox="1">
          <a:spLocks xmlns:a="http://schemas.openxmlformats.org/drawingml/2006/main" noChangeArrowheads="1"/>
        </cdr:cNvSpPr>
      </cdr:nvSpPr>
      <cdr:spPr bwMode="auto">
        <a:xfrm xmlns:a="http://schemas.openxmlformats.org/drawingml/2006/main">
          <a:off x="1834290" y="1085501"/>
          <a:ext cx="408684" cy="2247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0.79533</cdr:x>
      <cdr:y>0.69712</cdr:y>
    </cdr:from>
    <cdr:to>
      <cdr:x>0.94784</cdr:x>
      <cdr:y>0.8412</cdr:y>
    </cdr:to>
    <cdr:sp macro="" textlink="'結果 (2-3SDGs)'!$T$52">
      <cdr:nvSpPr>
        <cdr:cNvPr id="5329925" name="Text Box 5"/>
        <cdr:cNvSpPr txBox="1">
          <a:spLocks xmlns:a="http://schemas.openxmlformats.org/drawingml/2006/main" noChangeArrowheads="1"/>
        </cdr:cNvSpPr>
      </cdr:nvSpPr>
      <cdr:spPr bwMode="auto">
        <a:xfrm xmlns:a="http://schemas.openxmlformats.org/drawingml/2006/main">
          <a:off x="2518242" y="1085501"/>
          <a:ext cx="482293" cy="223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xml><?xml version="1.0" encoding="utf-8"?>
<c:userShapes xmlns:c="http://schemas.openxmlformats.org/drawingml/2006/chart">
  <cdr:relSizeAnchor xmlns:cdr="http://schemas.openxmlformats.org/drawingml/2006/chartDrawing">
    <cdr:from>
      <cdr:x>0.07258</cdr:x>
      <cdr:y>0.44678</cdr:y>
    </cdr:from>
    <cdr:to>
      <cdr:x>0.97303</cdr:x>
      <cdr:y>0.44678</cdr:y>
    </cdr:to>
    <cdr:sp macro="" textlink="">
      <cdr:nvSpPr>
        <cdr:cNvPr id="252929" name="Line 1"/>
        <cdr:cNvSpPr>
          <a:spLocks xmlns:a="http://schemas.openxmlformats.org/drawingml/2006/main" noChangeShapeType="1"/>
        </cdr:cNvSpPr>
      </cdr:nvSpPr>
      <cdr:spPr bwMode="auto">
        <a:xfrm xmlns:a="http://schemas.openxmlformats.org/drawingml/2006/main">
          <a:off x="227779" y="736221"/>
          <a:ext cx="282590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0.11183</cdr:x>
      <cdr:y>0.63166</cdr:y>
    </cdr:from>
    <cdr:to>
      <cdr:x>0.24244</cdr:x>
      <cdr:y>0.78409</cdr:y>
    </cdr:to>
    <cdr:sp macro="" textlink="'結果 (2-3SDGs)'!$Z$49">
      <cdr:nvSpPr>
        <cdr:cNvPr id="252930" name="Text Box 2"/>
        <cdr:cNvSpPr txBox="1">
          <a:spLocks xmlns:a="http://schemas.openxmlformats.org/drawingml/2006/main" noChangeArrowheads="1" noTextEdit="1"/>
        </cdr:cNvSpPr>
      </cdr:nvSpPr>
      <cdr:spPr bwMode="auto">
        <a:xfrm xmlns:a="http://schemas.openxmlformats.org/drawingml/2006/main">
          <a:off x="310638" y="1063607"/>
          <a:ext cx="389416" cy="25523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0.33051</cdr:x>
      <cdr:y>0.65527</cdr:y>
    </cdr:from>
    <cdr:to>
      <cdr:x>0.4814</cdr:x>
      <cdr:y>0.78668</cdr:y>
    </cdr:to>
    <cdr:sp macro="" textlink="'結果 (2-3SDGs)'!$Z$50">
      <cdr:nvSpPr>
        <cdr:cNvPr id="252931" name="Text Box 3"/>
        <cdr:cNvSpPr txBox="1">
          <a:spLocks xmlns:a="http://schemas.openxmlformats.org/drawingml/2006/main" noChangeArrowheads="1" noTextEdit="1"/>
        </cdr:cNvSpPr>
      </cdr:nvSpPr>
      <cdr:spPr bwMode="auto">
        <a:xfrm xmlns:a="http://schemas.openxmlformats.org/drawingml/2006/main">
          <a:off x="941479" y="1103438"/>
          <a:ext cx="42760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0.55815</cdr:x>
      <cdr:y>0.65527</cdr:y>
    </cdr:from>
    <cdr:to>
      <cdr:x>0.70612</cdr:x>
      <cdr:y>0.78668</cdr:y>
    </cdr:to>
    <cdr:sp macro="" textlink="'結果 (2-3SDGs)'!$Z$51">
      <cdr:nvSpPr>
        <cdr:cNvPr id="252932" name="Text Box 4"/>
        <cdr:cNvSpPr txBox="1">
          <a:spLocks xmlns:a="http://schemas.openxmlformats.org/drawingml/2006/main" noChangeArrowheads="1" noTextEdit="1"/>
        </cdr:cNvSpPr>
      </cdr:nvSpPr>
      <cdr:spPr bwMode="auto">
        <a:xfrm xmlns:a="http://schemas.openxmlformats.org/drawingml/2006/main">
          <a:off x="1588005" y="1103438"/>
          <a:ext cx="41737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cdr:x>
      <cdr:y>0.6494</cdr:y>
    </cdr:from>
    <cdr:to>
      <cdr:x>0.93757</cdr:x>
      <cdr:y>0.78454</cdr:y>
    </cdr:to>
    <cdr:sp macro="" textlink="'結果 (2-3SDGs)'!$Z$52">
      <cdr:nvSpPr>
        <cdr:cNvPr id="252933" name="Text Box 5"/>
        <cdr:cNvSpPr txBox="1">
          <a:spLocks xmlns:a="http://schemas.openxmlformats.org/drawingml/2006/main" noChangeArrowheads="1" noTextEdit="1"/>
        </cdr:cNvSpPr>
      </cdr:nvSpPr>
      <cdr:spPr bwMode="auto">
        <a:xfrm xmlns:a="http://schemas.openxmlformats.org/drawingml/2006/main">
          <a:off x="2231804" y="1093770"/>
          <a:ext cx="427608" cy="2273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8.xml><?xml version="1.0" encoding="utf-8"?>
<c:userShapes xmlns:c="http://schemas.openxmlformats.org/drawingml/2006/chart">
  <cdr:relSizeAnchor xmlns:cdr="http://schemas.openxmlformats.org/drawingml/2006/chartDrawing">
    <cdr:from>
      <cdr:x>0.07687</cdr:x>
      <cdr:y>0.44916</cdr:y>
    </cdr:from>
    <cdr:to>
      <cdr:x>0.98399</cdr:x>
      <cdr:y>0.44916</cdr:y>
    </cdr:to>
    <cdr:sp macro="" textlink="">
      <cdr:nvSpPr>
        <cdr:cNvPr id="2980865" name="Line 1"/>
        <cdr:cNvSpPr>
          <a:spLocks xmlns:a="http://schemas.openxmlformats.org/drawingml/2006/main" noChangeShapeType="1"/>
        </cdr:cNvSpPr>
      </cdr:nvSpPr>
      <cdr:spPr bwMode="auto">
        <a:xfrm xmlns:a="http://schemas.openxmlformats.org/drawingml/2006/main">
          <a:off x="238135" y="727307"/>
          <a:ext cx="2810188"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0.13529</cdr:x>
      <cdr:y>0.66053</cdr:y>
    </cdr:from>
    <cdr:to>
      <cdr:x>0.30032</cdr:x>
      <cdr:y>0.80694</cdr:y>
    </cdr:to>
    <cdr:sp macro="" textlink="'結果 (2-3SDGs)'!$W$49">
      <cdr:nvSpPr>
        <cdr:cNvPr id="5331970" name="Text Box 2"/>
        <cdr:cNvSpPr txBox="1">
          <a:spLocks xmlns:a="http://schemas.openxmlformats.org/drawingml/2006/main" noChangeArrowheads="1"/>
        </cdr:cNvSpPr>
      </cdr:nvSpPr>
      <cdr:spPr bwMode="auto">
        <a:xfrm xmlns:a="http://schemas.openxmlformats.org/drawingml/2006/main">
          <a:off x="423275" y="1079029"/>
          <a:ext cx="51243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0.43893</cdr:x>
      <cdr:y>0.66053</cdr:y>
    </cdr:from>
    <cdr:to>
      <cdr:x>0.6105</cdr:x>
      <cdr:y>0.80694</cdr:y>
    </cdr:to>
    <cdr:sp macro="" textlink="'結果 (2-3SDGs)'!$W$50">
      <cdr:nvSpPr>
        <cdr:cNvPr id="5331971" name="Text Box 3"/>
        <cdr:cNvSpPr txBox="1">
          <a:spLocks xmlns:a="http://schemas.openxmlformats.org/drawingml/2006/main" noChangeArrowheads="1"/>
        </cdr:cNvSpPr>
      </cdr:nvSpPr>
      <cdr:spPr bwMode="auto">
        <a:xfrm xmlns:a="http://schemas.openxmlformats.org/drawingml/2006/main">
          <a:off x="1366126" y="1079029"/>
          <a:ext cx="532753"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0.74257</cdr:x>
      <cdr:y>0.66053</cdr:y>
    </cdr:from>
    <cdr:to>
      <cdr:x>0.90857</cdr:x>
      <cdr:y>0.80694</cdr:y>
    </cdr:to>
    <cdr:sp macro="" textlink="'結果 (2-3SDGs)'!$W$51">
      <cdr:nvSpPr>
        <cdr:cNvPr id="5331972" name="Text Box 4"/>
        <cdr:cNvSpPr txBox="1">
          <a:spLocks xmlns:a="http://schemas.openxmlformats.org/drawingml/2006/main" noChangeArrowheads="1"/>
        </cdr:cNvSpPr>
      </cdr:nvSpPr>
      <cdr:spPr bwMode="auto">
        <a:xfrm xmlns:a="http://schemas.openxmlformats.org/drawingml/2006/main">
          <a:off x="2308977" y="1079029"/>
          <a:ext cx="51544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9.xml><?xml version="1.0" encoding="utf-8"?>
<c:userShapes xmlns:c="http://schemas.openxmlformats.org/drawingml/2006/chart">
  <cdr:relSizeAnchor xmlns:cdr="http://schemas.openxmlformats.org/drawingml/2006/chartDrawing">
    <cdr:from>
      <cdr:x>0.00218</cdr:x>
      <cdr:y>0.14304</cdr:y>
    </cdr:from>
    <cdr:to>
      <cdr:x>0.00218</cdr:x>
      <cdr:y>0.14639</cdr:y>
    </cdr:to>
    <cdr:sp macro="" textlink="">
      <cdr:nvSpPr>
        <cdr:cNvPr id="256001" name="Text Box 1"/>
        <cdr:cNvSpPr txBox="1">
          <a:spLocks xmlns:a="http://schemas.openxmlformats.org/drawingml/2006/main" noChangeArrowheads="1"/>
        </cdr:cNvSpPr>
      </cdr:nvSpPr>
      <cdr:spPr bwMode="auto">
        <a:xfrm xmlns:a="http://schemas.openxmlformats.org/drawingml/2006/main">
          <a:off x="0" y="388740"/>
          <a:ext cx="293326" cy="145188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0.21264</cdr:x>
      <cdr:y>0.90498</cdr:y>
    </cdr:from>
    <cdr:to>
      <cdr:x>0.86122</cdr:x>
      <cdr:y>0.99365</cdr:y>
    </cdr:to>
    <cdr:sp macro="" textlink="">
      <cdr:nvSpPr>
        <cdr:cNvPr id="256002" name="Text Box 2"/>
        <cdr:cNvSpPr txBox="1">
          <a:spLocks xmlns:a="http://schemas.openxmlformats.org/drawingml/2006/main" noChangeArrowheads="1"/>
        </cdr:cNvSpPr>
      </cdr:nvSpPr>
      <cdr:spPr bwMode="auto">
        <a:xfrm xmlns:a="http://schemas.openxmlformats.org/drawingml/2006/main">
          <a:off x="557058" y="2201810"/>
          <a:ext cx="1772374" cy="23056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0.20426</cdr:x>
      <cdr:y>0.11775</cdr:y>
    </cdr:from>
    <cdr:to>
      <cdr:x>0.4337</cdr:x>
      <cdr:y>0.23252</cdr:y>
    </cdr:to>
    <cdr:sp macro="" textlink="">
      <cdr:nvSpPr>
        <cdr:cNvPr id="256003" name="Text Box 3"/>
        <cdr:cNvSpPr txBox="1">
          <a:spLocks xmlns:a="http://schemas.openxmlformats.org/drawingml/2006/main" noChangeArrowheads="1"/>
        </cdr:cNvSpPr>
      </cdr:nvSpPr>
      <cdr:spPr bwMode="auto">
        <a:xfrm xmlns:a="http://schemas.openxmlformats.org/drawingml/2006/main">
          <a:off x="535255" y="273479"/>
          <a:ext cx="502703"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S</a:t>
          </a:r>
        </a:p>
      </cdr:txBody>
    </cdr:sp>
  </cdr:relSizeAnchor>
  <cdr:relSizeAnchor xmlns:cdr="http://schemas.openxmlformats.org/drawingml/2006/chartDrawing">
    <cdr:from>
      <cdr:x>0.45576</cdr:x>
      <cdr:y>0.10962</cdr:y>
    </cdr:from>
    <cdr:to>
      <cdr:x>0.65748</cdr:x>
      <cdr:y>0.23442</cdr:y>
    </cdr:to>
    <cdr:sp macro="" textlink="">
      <cdr:nvSpPr>
        <cdr:cNvPr id="256004" name="Text Box 4"/>
        <cdr:cNvSpPr txBox="1">
          <a:spLocks xmlns:a="http://schemas.openxmlformats.org/drawingml/2006/main" noChangeArrowheads="1"/>
        </cdr:cNvSpPr>
      </cdr:nvSpPr>
      <cdr:spPr bwMode="auto">
        <a:xfrm xmlns:a="http://schemas.openxmlformats.org/drawingml/2006/main">
          <a:off x="1090936" y="252494"/>
          <a:ext cx="442072" cy="3048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A</a:t>
          </a:r>
        </a:p>
      </cdr:txBody>
    </cdr:sp>
  </cdr:relSizeAnchor>
  <cdr:relSizeAnchor xmlns:cdr="http://schemas.openxmlformats.org/drawingml/2006/chartDrawing">
    <cdr:from>
      <cdr:x>0.70416</cdr:x>
      <cdr:y>0.10962</cdr:y>
    </cdr:from>
    <cdr:to>
      <cdr:x>0.89722</cdr:x>
      <cdr:y>0.23227</cdr:y>
    </cdr:to>
    <cdr:sp macro="" textlink="">
      <cdr:nvSpPr>
        <cdr:cNvPr id="256005" name="Text Box 5"/>
        <cdr:cNvSpPr txBox="1">
          <a:spLocks xmlns:a="http://schemas.openxmlformats.org/drawingml/2006/main" noChangeArrowheads="1"/>
        </cdr:cNvSpPr>
      </cdr:nvSpPr>
      <cdr:spPr bwMode="auto">
        <a:xfrm xmlns:a="http://schemas.openxmlformats.org/drawingml/2006/main">
          <a:off x="1637198" y="252494"/>
          <a:ext cx="426768" cy="2972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0.30854</cdr:y>
    </cdr:from>
    <cdr:to>
      <cdr:x>0.9211</cdr:x>
      <cdr:y>0.42162</cdr:y>
    </cdr:to>
    <cdr:sp macro="" textlink="">
      <cdr:nvSpPr>
        <cdr:cNvPr id="256006" name="Text Box 6"/>
        <cdr:cNvSpPr txBox="1">
          <a:spLocks xmlns:a="http://schemas.openxmlformats.org/drawingml/2006/main" noChangeArrowheads="1"/>
        </cdr:cNvSpPr>
      </cdr:nvSpPr>
      <cdr:spPr bwMode="auto">
        <a:xfrm xmlns:a="http://schemas.openxmlformats.org/drawingml/2006/main">
          <a:off x="1852642" y="731079"/>
          <a:ext cx="297266"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0.68408</cdr:y>
    </cdr:from>
    <cdr:to>
      <cdr:x>0.91705</cdr:x>
      <cdr:y>0.79954</cdr:y>
    </cdr:to>
    <cdr:sp macro="" textlink="">
      <cdr:nvSpPr>
        <cdr:cNvPr id="256007" name="Text Box 7"/>
        <cdr:cNvSpPr txBox="1">
          <a:spLocks xmlns:a="http://schemas.openxmlformats.org/drawingml/2006/main" noChangeArrowheads="1"/>
        </cdr:cNvSpPr>
      </cdr:nvSpPr>
      <cdr:spPr bwMode="auto">
        <a:xfrm xmlns:a="http://schemas.openxmlformats.org/drawingml/2006/main">
          <a:off x="1852642" y="1634621"/>
          <a:ext cx="281961" cy="2821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C</a:t>
          </a:r>
        </a:p>
      </cdr:txBody>
    </cdr:sp>
  </cdr:relSizeAnchor>
  <cdr:relSizeAnchor xmlns:cdr="http://schemas.openxmlformats.org/drawingml/2006/chartDrawing">
    <cdr:from>
      <cdr:x>0.40977</cdr:x>
      <cdr:y>0.024</cdr:y>
    </cdr:from>
    <cdr:to>
      <cdr:x>0.53218</cdr:x>
      <cdr:y>0.1091</cdr:y>
    </cdr:to>
    <cdr:sp macro="" textlink="">
      <cdr:nvSpPr>
        <cdr:cNvPr id="256008" name="Text Box 8"/>
        <cdr:cNvSpPr txBox="1">
          <a:spLocks xmlns:a="http://schemas.openxmlformats.org/drawingml/2006/main" noChangeArrowheads="1"/>
        </cdr:cNvSpPr>
      </cdr:nvSpPr>
      <cdr:spPr bwMode="auto">
        <a:xfrm xmlns:a="http://schemas.openxmlformats.org/drawingml/2006/main">
          <a:off x="1003009" y="56400"/>
          <a:ext cx="275953" cy="210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0.86417</cdr:x>
      <cdr:y>0.41204</cdr:y>
    </cdr:from>
    <cdr:to>
      <cdr:x>0.98095</cdr:x>
      <cdr:y>0.49687</cdr:y>
    </cdr:to>
    <cdr:sp macro="" textlink="">
      <cdr:nvSpPr>
        <cdr:cNvPr id="5173257" name="Text Box 9"/>
        <cdr:cNvSpPr txBox="1">
          <a:spLocks xmlns:a="http://schemas.openxmlformats.org/drawingml/2006/main" noChangeArrowheads="1"/>
        </cdr:cNvSpPr>
      </cdr:nvSpPr>
      <cdr:spPr bwMode="auto">
        <a:xfrm xmlns:a="http://schemas.openxmlformats.org/drawingml/2006/main">
          <a:off x="2356502" y="1012215"/>
          <a:ext cx="338276" cy="20846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22860" rIns="36576" bIns="22860" anchor="ctr"/>
        <a:lstStyle xmlns:a="http://schemas.openxmlformats.org/drawingml/2006/main"/>
        <a:p xmlns:a="http://schemas.openxmlformats.org/drawingml/2006/main">
          <a:pPr algn="r" rtl="0">
            <a:defRPr sz="1000"/>
          </a:pPr>
          <a:r>
            <a:rPr lang="en-US" altLang="ja-JP"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0.64634</cdr:x>
      <cdr:y>0.01958</cdr:y>
    </cdr:from>
    <cdr:to>
      <cdr:x>0.72869</cdr:x>
      <cdr:y>0.11335</cdr:y>
    </cdr:to>
    <cdr:sp macro="" textlink="">
      <cdr:nvSpPr>
        <cdr:cNvPr id="256010" name="Text Box 10"/>
        <cdr:cNvSpPr txBox="1">
          <a:spLocks xmlns:a="http://schemas.openxmlformats.org/drawingml/2006/main" noChangeArrowheads="1"/>
        </cdr:cNvSpPr>
      </cdr:nvSpPr>
      <cdr:spPr bwMode="auto">
        <a:xfrm xmlns:a="http://schemas.openxmlformats.org/drawingml/2006/main">
          <a:off x="1766882" y="47928"/>
          <a:ext cx="225125"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0.77117</cdr:x>
      <cdr:y>0.01958</cdr:y>
    </cdr:from>
    <cdr:to>
      <cdr:x>0.97064</cdr:x>
      <cdr:y>0.11335</cdr:y>
    </cdr:to>
    <cdr:sp macro="" textlink="">
      <cdr:nvSpPr>
        <cdr:cNvPr id="256011" name="Text Box 11"/>
        <cdr:cNvSpPr txBox="1">
          <a:spLocks xmlns:a="http://schemas.openxmlformats.org/drawingml/2006/main" noChangeArrowheads="1"/>
        </cdr:cNvSpPr>
      </cdr:nvSpPr>
      <cdr:spPr bwMode="auto">
        <a:xfrm xmlns:a="http://schemas.openxmlformats.org/drawingml/2006/main">
          <a:off x="2108137" y="47928"/>
          <a:ext cx="545277"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148590</xdr:colOff>
      <xdr:row>0</xdr:row>
      <xdr:rowOff>152400</xdr:rowOff>
    </xdr:from>
    <xdr:to>
      <xdr:col>4</xdr:col>
      <xdr:colOff>970171</xdr:colOff>
      <xdr:row>2</xdr:row>
      <xdr:rowOff>364494</xdr:rowOff>
    </xdr:to>
    <xdr:pic>
      <xdr:nvPicPr>
        <xdr:cNvPr id="3" name="図 2">
          <a:extLst>
            <a:ext uri="{FF2B5EF4-FFF2-40B4-BE49-F238E27FC236}">
              <a16:creationId xmlns:a16="http://schemas.microsoft.com/office/drawing/2014/main" id="{9E28BF89-BCD9-483C-A163-7AF4ABA53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415" y="152400"/>
          <a:ext cx="5191651" cy="554994"/>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0.62973</cdr:x>
      <cdr:y>0.17997</cdr:y>
    </cdr:from>
    <cdr:to>
      <cdr:x>0.96966</cdr:x>
      <cdr:y>0.299</cdr:y>
    </cdr:to>
    <cdr:sp macro="" textlink="'結果 (2-3SDGs)'!$AB$40">
      <cdr:nvSpPr>
        <cdr:cNvPr id="5337089" name="Text Box 1"/>
        <cdr:cNvSpPr txBox="1">
          <a:spLocks xmlns:a="http://schemas.openxmlformats.org/drawingml/2006/main" noChangeArrowheads="1"/>
        </cdr:cNvSpPr>
      </cdr:nvSpPr>
      <cdr:spPr bwMode="auto">
        <a:xfrm xmlns:a="http://schemas.openxmlformats.org/drawingml/2006/main">
          <a:off x="1538700" y="313440"/>
          <a:ext cx="828890" cy="2052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D773FA06-EEFC-4BDD-B0E0-68AD589D13B2}"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0.62973</cdr:x>
      <cdr:y>0.33656</cdr:y>
    </cdr:from>
    <cdr:to>
      <cdr:x>0.96485</cdr:x>
      <cdr:y>0.44709</cdr:y>
    </cdr:to>
    <cdr:sp macro="" textlink="'結果 (2-3SDGs)'!$AB$41">
      <cdr:nvSpPr>
        <cdr:cNvPr id="5337090" name="Text Box 2"/>
        <cdr:cNvSpPr txBox="1">
          <a:spLocks xmlns:a="http://schemas.openxmlformats.org/drawingml/2006/main" noChangeArrowheads="1" noTextEdit="1"/>
        </cdr:cNvSpPr>
      </cdr:nvSpPr>
      <cdr:spPr bwMode="auto">
        <a:xfrm xmlns:a="http://schemas.openxmlformats.org/drawingml/2006/main">
          <a:off x="1538700" y="583409"/>
          <a:ext cx="817174" cy="1905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B29AD7BD-D384-441D-9FF7-D111089FF3A7}" type="TxLink">
            <a:rPr lang="ja-JP" altLang="en-US" sz="900" b="1" i="0" u="none" strike="noStrike" baseline="0">
              <a:solidFill>
                <a:srgbClr val="000000"/>
              </a:solidFill>
              <a:latin typeface="Arial"/>
              <a:cs typeface="Arial"/>
            </a:rPr>
            <a:pPr algn="r" rtl="0">
              <a:defRPr sz="1000"/>
            </a:pPr>
            <a:t>74%</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0.62877</cdr:x>
      <cdr:y>0.5085</cdr:y>
    </cdr:from>
    <cdr:to>
      <cdr:x>0.96605</cdr:x>
      <cdr:y>0.61762</cdr:y>
    </cdr:to>
    <cdr:sp macro="" textlink="'結果 (2-3SDGs)'!$AB$42">
      <cdr:nvSpPr>
        <cdr:cNvPr id="5337091" name="Text Box 3"/>
        <cdr:cNvSpPr txBox="1">
          <a:spLocks xmlns:a="http://schemas.openxmlformats.org/drawingml/2006/main" noChangeArrowheads="1" noTextEdit="1"/>
        </cdr:cNvSpPr>
      </cdr:nvSpPr>
      <cdr:spPr bwMode="auto">
        <a:xfrm xmlns:a="http://schemas.openxmlformats.org/drawingml/2006/main">
          <a:off x="1536357" y="879846"/>
          <a:ext cx="822446" cy="1881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A7DCF399-CEBE-4D1E-86EB-1CF247254C67}" type="TxLink">
            <a:rPr lang="ja-JP" altLang="en-US" sz="900" b="1" i="0" u="none" strike="noStrike" baseline="0">
              <a:solidFill>
                <a:srgbClr val="000000"/>
              </a:solidFill>
              <a:latin typeface="Arial"/>
              <a:cs typeface="Arial"/>
            </a:rPr>
            <a:pPr algn="r" rtl="0">
              <a:defRPr sz="1000"/>
            </a:pPr>
            <a:t>74%</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0.60234</cdr:x>
      <cdr:y>0.64809</cdr:y>
    </cdr:from>
    <cdr:to>
      <cdr:x>0.96654</cdr:x>
      <cdr:y>0.78579</cdr:y>
    </cdr:to>
    <cdr:sp macro="" textlink="'結果 (2-3SDGs)'!$AB$43">
      <cdr:nvSpPr>
        <cdr:cNvPr id="5337092" name="Text Box 4"/>
        <cdr:cNvSpPr txBox="1">
          <a:spLocks xmlns:a="http://schemas.openxmlformats.org/drawingml/2006/main" noChangeArrowheads="1" noTextEdit="1"/>
        </cdr:cNvSpPr>
      </cdr:nvSpPr>
      <cdr:spPr bwMode="auto">
        <a:xfrm xmlns:a="http://schemas.openxmlformats.org/drawingml/2006/main">
          <a:off x="1471920" y="1120498"/>
          <a:ext cx="888054" cy="23739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8BA5D0F3-E74C-4B1D-A292-373515CAAEA6}" type="TxLink">
            <a:rPr lang="ja-JP" altLang="en-US" sz="900" b="1" i="0" u="none" strike="noStrike" baseline="0">
              <a:solidFill>
                <a:srgbClr val="000000"/>
              </a:solidFill>
              <a:latin typeface="Arial"/>
              <a:cs typeface="Arial"/>
            </a:rPr>
            <a:pPr algn="r" rtl="0">
              <a:defRPr sz="1000"/>
            </a:pPr>
            <a:t>74%</a:t>
          </a:fld>
          <a:endParaRPr lang="ja-JP" altLang="en-US" sz="900" b="1" i="0" u="none" strike="noStrike" baseline="0">
            <a:solidFill>
              <a:srgbClr val="000000"/>
            </a:solidFill>
            <a:latin typeface="Arial"/>
            <a:cs typeface="Arial"/>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8</xdr:col>
      <xdr:colOff>457200</xdr:colOff>
      <xdr:row>55</xdr:row>
      <xdr:rowOff>0</xdr:rowOff>
    </xdr:from>
    <xdr:to>
      <xdr:col>8</xdr:col>
      <xdr:colOff>548640</xdr:colOff>
      <xdr:row>56</xdr:row>
      <xdr:rowOff>19050</xdr:rowOff>
    </xdr:to>
    <xdr:sp macro="" textlink="">
      <xdr:nvSpPr>
        <xdr:cNvPr id="34614" name="Text Box 278">
          <a:extLst>
            <a:ext uri="{FF2B5EF4-FFF2-40B4-BE49-F238E27FC236}">
              <a16:creationId xmlns:a16="http://schemas.microsoft.com/office/drawing/2014/main" id="{00000000-0008-0000-1000-000036870000}"/>
            </a:ext>
          </a:extLst>
        </xdr:cNvPr>
        <xdr:cNvSpPr txBox="1">
          <a:spLocks noChangeArrowheads="1"/>
        </xdr:cNvSpPr>
      </xdr:nvSpPr>
      <xdr:spPr bwMode="auto">
        <a:xfrm>
          <a:off x="5457825" y="110109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132523</xdr:colOff>
      <xdr:row>28</xdr:row>
      <xdr:rowOff>41413</xdr:rowOff>
    </xdr:from>
    <xdr:to>
      <xdr:col>14</xdr:col>
      <xdr:colOff>107673</xdr:colOff>
      <xdr:row>43</xdr:row>
      <xdr:rowOff>190500</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9236766" y="5216387"/>
          <a:ext cx="1399759" cy="3727174"/>
          <a:chOff x="10245588" y="4514022"/>
          <a:chExt cx="1408042" cy="3627782"/>
        </a:xfrm>
      </xdr:grpSpPr>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10245588" y="4514022"/>
            <a:ext cx="190500" cy="362778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0552043" y="6112565"/>
            <a:ext cx="1101587" cy="372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1"/>
                </a:solidFill>
              </a:rPr>
              <a:t>更新済み</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457200</xdr:colOff>
      <xdr:row>56</xdr:row>
      <xdr:rowOff>0</xdr:rowOff>
    </xdr:from>
    <xdr:to>
      <xdr:col>8</xdr:col>
      <xdr:colOff>552450</xdr:colOff>
      <xdr:row>57</xdr:row>
      <xdr:rowOff>0</xdr:rowOff>
    </xdr:to>
    <xdr:sp macro="" textlink="">
      <xdr:nvSpPr>
        <xdr:cNvPr id="5075249" name="Text Box 340">
          <a:extLst>
            <a:ext uri="{FF2B5EF4-FFF2-40B4-BE49-F238E27FC236}">
              <a16:creationId xmlns:a16="http://schemas.microsoft.com/office/drawing/2014/main" id="{00000000-0008-0000-1100-000031714D00}"/>
            </a:ext>
          </a:extLst>
        </xdr:cNvPr>
        <xdr:cNvSpPr txBox="1">
          <a:spLocks noChangeArrowheads="1"/>
        </xdr:cNvSpPr>
      </xdr:nvSpPr>
      <xdr:spPr bwMode="auto">
        <a:xfrm>
          <a:off x="5448300" y="72104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457200</xdr:colOff>
      <xdr:row>56</xdr:row>
      <xdr:rowOff>0</xdr:rowOff>
    </xdr:from>
    <xdr:to>
      <xdr:col>9</xdr:col>
      <xdr:colOff>552450</xdr:colOff>
      <xdr:row>57</xdr:row>
      <xdr:rowOff>0</xdr:rowOff>
    </xdr:to>
    <xdr:sp macro="" textlink="">
      <xdr:nvSpPr>
        <xdr:cNvPr id="5075250" name="Text Box 341">
          <a:extLst>
            <a:ext uri="{FF2B5EF4-FFF2-40B4-BE49-F238E27FC236}">
              <a16:creationId xmlns:a16="http://schemas.microsoft.com/office/drawing/2014/main" id="{00000000-0008-0000-1100-000032714D00}"/>
            </a:ext>
          </a:extLst>
        </xdr:cNvPr>
        <xdr:cNvSpPr txBox="1">
          <a:spLocks noChangeArrowheads="1"/>
        </xdr:cNvSpPr>
      </xdr:nvSpPr>
      <xdr:spPr bwMode="auto">
        <a:xfrm>
          <a:off x="6334125" y="72104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0</xdr:colOff>
      <xdr:row>227</xdr:row>
      <xdr:rowOff>152399</xdr:rowOff>
    </xdr:from>
    <xdr:to>
      <xdr:col>16</xdr:col>
      <xdr:colOff>571500</xdr:colOff>
      <xdr:row>231</xdr:row>
      <xdr:rowOff>38100</xdr:rowOff>
    </xdr:to>
    <xdr:sp macro="" textlink="">
      <xdr:nvSpPr>
        <xdr:cNvPr id="3" name="テキスト ボックス 2">
          <a:extLst>
            <a:ext uri="{FF2B5EF4-FFF2-40B4-BE49-F238E27FC236}">
              <a16:creationId xmlns:a16="http://schemas.microsoft.com/office/drawing/2014/main" id="{15405D5B-82C8-F7BB-51F3-CA6247885D11}"/>
            </a:ext>
          </a:extLst>
        </xdr:cNvPr>
        <xdr:cNvSpPr txBox="1"/>
      </xdr:nvSpPr>
      <xdr:spPr>
        <a:xfrm>
          <a:off x="5391150" y="20983574"/>
          <a:ext cx="3086100" cy="571501"/>
        </a:xfrm>
        <a:prstGeom prst="rect">
          <a:avLst/>
        </a:prstGeom>
        <a:solidFill>
          <a:schemeClr val="lt1"/>
        </a:solidFill>
        <a:ln w="9525" cmpd="sng">
          <a:solidFill>
            <a:schemeClr val="lt1">
              <a:shade val="50000"/>
            </a:schemeClr>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baseline="0">
              <a:solidFill>
                <a:schemeClr val="dk1"/>
              </a:solidFill>
              <a:latin typeface="+mn-ea"/>
              <a:ea typeface="+mn-ea"/>
              <a:cs typeface="+mn-cs"/>
            </a:rPr>
            <a:t>「令和</a:t>
          </a:r>
          <a:r>
            <a:rPr lang="en-US" altLang="ja-JP" sz="900" b="0" i="0" u="none" strike="noStrike" baseline="0">
              <a:solidFill>
                <a:schemeClr val="dk1"/>
              </a:solidFill>
              <a:latin typeface="+mn-ea"/>
              <a:ea typeface="+mn-ea"/>
              <a:cs typeface="+mn-cs"/>
            </a:rPr>
            <a:t>4</a:t>
          </a:r>
          <a:r>
            <a:rPr lang="ja-JP" altLang="en-US" sz="900" b="0" i="0" u="none" strike="noStrike" baseline="0">
              <a:solidFill>
                <a:schemeClr val="dk1"/>
              </a:solidFill>
              <a:latin typeface="+mn-ea"/>
              <a:ea typeface="+mn-ea"/>
              <a:cs typeface="+mn-cs"/>
            </a:rPr>
            <a:t>年度（</a:t>
          </a:r>
          <a:r>
            <a:rPr lang="en-US" altLang="ja-JP" sz="900" b="0" i="0" u="none" strike="noStrike" baseline="0">
              <a:solidFill>
                <a:schemeClr val="dk1"/>
              </a:solidFill>
              <a:latin typeface="+mn-ea"/>
              <a:ea typeface="+mn-ea"/>
              <a:cs typeface="+mn-cs"/>
            </a:rPr>
            <a:t>2022</a:t>
          </a:r>
          <a:r>
            <a:rPr lang="ja-JP" altLang="en-US" sz="900" b="0" i="0" u="none" strike="noStrike" baseline="0">
              <a:solidFill>
                <a:schemeClr val="dk1"/>
              </a:solidFill>
              <a:latin typeface="+mn-ea"/>
              <a:ea typeface="+mn-ea"/>
              <a:cs typeface="+mn-cs"/>
            </a:rPr>
            <a:t>年度）におけるエネルギー需給実績（確報）」家庭部門最終エネルギー消費の推移（資源エネルギー庁総務課戦略企画室、令和</a:t>
          </a:r>
          <a:r>
            <a:rPr lang="en-US" altLang="ja-JP" sz="900" b="0" i="0" u="none" strike="noStrike" baseline="0">
              <a:solidFill>
                <a:schemeClr val="dk1"/>
              </a:solidFill>
              <a:latin typeface="+mn-ea"/>
              <a:ea typeface="+mn-ea"/>
              <a:cs typeface="+mn-cs"/>
            </a:rPr>
            <a:t>6</a:t>
          </a:r>
          <a:r>
            <a:rPr lang="ja-JP" altLang="en-US" sz="900" b="0" i="0" u="none" strike="noStrike" baseline="0">
              <a:solidFill>
                <a:schemeClr val="dk1"/>
              </a:solidFill>
              <a:latin typeface="+mn-ea"/>
              <a:ea typeface="+mn-ea"/>
              <a:cs typeface="+mn-cs"/>
            </a:rPr>
            <a:t>年</a:t>
          </a:r>
          <a:r>
            <a:rPr lang="en-US" altLang="ja-JP" sz="900" b="0" i="0" u="none" strike="noStrike" baseline="0">
              <a:solidFill>
                <a:schemeClr val="dk1"/>
              </a:solidFill>
              <a:latin typeface="+mn-ea"/>
              <a:ea typeface="+mn-ea"/>
              <a:cs typeface="+mn-cs"/>
            </a:rPr>
            <a:t>4</a:t>
          </a:r>
          <a:r>
            <a:rPr lang="ja-JP" altLang="en-US" sz="900" b="0" i="0" u="none" strike="noStrike" baseline="0">
              <a:solidFill>
                <a:schemeClr val="dk1"/>
              </a:solidFill>
              <a:latin typeface="+mn-ea"/>
              <a:ea typeface="+mn-ea"/>
              <a:cs typeface="+mn-cs"/>
            </a:rPr>
            <a:t>月） </a:t>
          </a:r>
          <a:endParaRPr kumimoji="1" lang="ja-JP" altLang="en-US" sz="900">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89649</xdr:colOff>
      <xdr:row>7</xdr:row>
      <xdr:rowOff>392206</xdr:rowOff>
    </xdr:from>
    <xdr:to>
      <xdr:col>2</xdr:col>
      <xdr:colOff>2825</xdr:colOff>
      <xdr:row>7</xdr:row>
      <xdr:rowOff>1125541</xdr:rowOff>
    </xdr:to>
    <xdr:pic>
      <xdr:nvPicPr>
        <xdr:cNvPr id="2" name="図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2" y="2286000"/>
          <a:ext cx="720000" cy="720000"/>
        </a:xfrm>
        <a:prstGeom prst="rect">
          <a:avLst/>
        </a:prstGeom>
      </xdr:spPr>
    </xdr:pic>
    <xdr:clientData/>
  </xdr:twoCellAnchor>
  <xdr:twoCellAnchor editAs="oneCell">
    <xdr:from>
      <xdr:col>1</xdr:col>
      <xdr:colOff>89649</xdr:colOff>
      <xdr:row>11</xdr:row>
      <xdr:rowOff>113095</xdr:rowOff>
    </xdr:from>
    <xdr:to>
      <xdr:col>2</xdr:col>
      <xdr:colOff>2825</xdr:colOff>
      <xdr:row>13</xdr:row>
      <xdr:rowOff>134520</xdr:rowOff>
    </xdr:to>
    <xdr:pic>
      <xdr:nvPicPr>
        <xdr:cNvPr id="3" name="ゴール3">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4924" y="5047045"/>
          <a:ext cx="720000" cy="711035"/>
        </a:xfrm>
        <a:prstGeom prst="rect">
          <a:avLst/>
        </a:prstGeom>
      </xdr:spPr>
    </xdr:pic>
    <xdr:clientData/>
  </xdr:twoCellAnchor>
  <xdr:oneCellAnchor>
    <xdr:from>
      <xdr:col>1</xdr:col>
      <xdr:colOff>89649</xdr:colOff>
      <xdr:row>8</xdr:row>
      <xdr:rowOff>379981</xdr:rowOff>
    </xdr:from>
    <xdr:ext cx="723900" cy="707561"/>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2" y="3427981"/>
          <a:ext cx="723900" cy="707561"/>
        </a:xfrm>
        <a:prstGeom prst="rect">
          <a:avLst/>
        </a:prstGeom>
      </xdr:spPr>
    </xdr:pic>
    <xdr:clientData/>
  </xdr:oneCellAnchor>
  <xdr:twoCellAnchor editAs="oneCell">
    <xdr:from>
      <xdr:col>1</xdr:col>
      <xdr:colOff>89649</xdr:colOff>
      <xdr:row>29</xdr:row>
      <xdr:rowOff>156884</xdr:rowOff>
    </xdr:from>
    <xdr:to>
      <xdr:col>2</xdr:col>
      <xdr:colOff>2825</xdr:colOff>
      <xdr:row>31</xdr:row>
      <xdr:rowOff>174499</xdr:rowOff>
    </xdr:to>
    <xdr:pic>
      <xdr:nvPicPr>
        <xdr:cNvPr id="5" name="ゴール4">
          <a:extLst>
            <a:ext uri="{FF2B5EF4-FFF2-40B4-BE49-F238E27FC236}">
              <a16:creationId xmlns:a16="http://schemas.microsoft.com/office/drawing/2014/main" id="{00000000-0008-0000-1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924" y="14577734"/>
          <a:ext cx="720000" cy="711035"/>
        </a:xfrm>
        <a:prstGeom prst="rect">
          <a:avLst/>
        </a:prstGeom>
      </xdr:spPr>
    </xdr:pic>
    <xdr:clientData/>
  </xdr:twoCellAnchor>
  <xdr:twoCellAnchor editAs="oneCell">
    <xdr:from>
      <xdr:col>1</xdr:col>
      <xdr:colOff>89647</xdr:colOff>
      <xdr:row>37</xdr:row>
      <xdr:rowOff>170335</xdr:rowOff>
    </xdr:from>
    <xdr:to>
      <xdr:col>2</xdr:col>
      <xdr:colOff>2823</xdr:colOff>
      <xdr:row>38</xdr:row>
      <xdr:rowOff>554047</xdr:rowOff>
    </xdr:to>
    <xdr:pic>
      <xdr:nvPicPr>
        <xdr:cNvPr id="6" name="図 5">
          <a:extLst>
            <a:ext uri="{FF2B5EF4-FFF2-40B4-BE49-F238E27FC236}">
              <a16:creationId xmlns:a16="http://schemas.microsoft.com/office/drawing/2014/main" id="{00000000-0008-0000-1300-000006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88" y="18897606"/>
          <a:ext cx="720000" cy="720000"/>
        </a:xfrm>
        <a:prstGeom prst="rect">
          <a:avLst/>
        </a:prstGeom>
      </xdr:spPr>
    </xdr:pic>
    <xdr:clientData/>
  </xdr:twoCellAnchor>
  <xdr:twoCellAnchor editAs="oneCell">
    <xdr:from>
      <xdr:col>1</xdr:col>
      <xdr:colOff>89647</xdr:colOff>
      <xdr:row>41</xdr:row>
      <xdr:rowOff>78440</xdr:rowOff>
    </xdr:from>
    <xdr:to>
      <xdr:col>2</xdr:col>
      <xdr:colOff>2823</xdr:colOff>
      <xdr:row>42</xdr:row>
      <xdr:rowOff>437721</xdr:rowOff>
    </xdr:to>
    <xdr:pic>
      <xdr:nvPicPr>
        <xdr:cNvPr id="7" name="図 6">
          <a:extLst>
            <a:ext uri="{FF2B5EF4-FFF2-40B4-BE49-F238E27FC236}">
              <a16:creationId xmlns:a16="http://schemas.microsoft.com/office/drawing/2014/main" id="{00000000-0008-0000-1300-000007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4922" y="24014765"/>
          <a:ext cx="720000" cy="715518"/>
        </a:xfrm>
        <a:prstGeom prst="rect">
          <a:avLst/>
        </a:prstGeom>
      </xdr:spPr>
    </xdr:pic>
    <xdr:clientData/>
  </xdr:twoCellAnchor>
  <xdr:twoCellAnchor editAs="oneCell">
    <xdr:from>
      <xdr:col>1</xdr:col>
      <xdr:colOff>89647</xdr:colOff>
      <xdr:row>47</xdr:row>
      <xdr:rowOff>381000</xdr:rowOff>
    </xdr:from>
    <xdr:to>
      <xdr:col>2</xdr:col>
      <xdr:colOff>2823</xdr:colOff>
      <xdr:row>47</xdr:row>
      <xdr:rowOff>1089570</xdr:rowOff>
    </xdr:to>
    <xdr:pic>
      <xdr:nvPicPr>
        <xdr:cNvPr id="8" name="図 7">
          <a:extLst>
            <a:ext uri="{FF2B5EF4-FFF2-40B4-BE49-F238E27FC236}">
              <a16:creationId xmlns:a16="http://schemas.microsoft.com/office/drawing/2014/main" id="{00000000-0008-0000-1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4922" y="28975050"/>
          <a:ext cx="720000" cy="720000"/>
        </a:xfrm>
        <a:prstGeom prst="rect">
          <a:avLst/>
        </a:prstGeom>
      </xdr:spPr>
    </xdr:pic>
    <xdr:clientData/>
  </xdr:twoCellAnchor>
  <xdr:twoCellAnchor editAs="oneCell">
    <xdr:from>
      <xdr:col>1</xdr:col>
      <xdr:colOff>89647</xdr:colOff>
      <xdr:row>50</xdr:row>
      <xdr:rowOff>235322</xdr:rowOff>
    </xdr:from>
    <xdr:to>
      <xdr:col>2</xdr:col>
      <xdr:colOff>2823</xdr:colOff>
      <xdr:row>52</xdr:row>
      <xdr:rowOff>247221</xdr:rowOff>
    </xdr:to>
    <xdr:pic>
      <xdr:nvPicPr>
        <xdr:cNvPr id="9" name="図 8">
          <a:extLst>
            <a:ext uri="{FF2B5EF4-FFF2-40B4-BE49-F238E27FC236}">
              <a16:creationId xmlns:a16="http://schemas.microsoft.com/office/drawing/2014/main" id="{00000000-0008-0000-1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4922" y="32172647"/>
          <a:ext cx="720000" cy="711035"/>
        </a:xfrm>
        <a:prstGeom prst="rect">
          <a:avLst/>
        </a:prstGeom>
      </xdr:spPr>
    </xdr:pic>
    <xdr:clientData/>
  </xdr:twoCellAnchor>
  <xdr:twoCellAnchor editAs="oneCell">
    <xdr:from>
      <xdr:col>1</xdr:col>
      <xdr:colOff>89647</xdr:colOff>
      <xdr:row>56</xdr:row>
      <xdr:rowOff>571499</xdr:rowOff>
    </xdr:from>
    <xdr:to>
      <xdr:col>2</xdr:col>
      <xdr:colOff>2823</xdr:colOff>
      <xdr:row>57</xdr:row>
      <xdr:rowOff>325775</xdr:rowOff>
    </xdr:to>
    <xdr:pic>
      <xdr:nvPicPr>
        <xdr:cNvPr id="10" name="図 9">
          <a:extLst>
            <a:ext uri="{FF2B5EF4-FFF2-40B4-BE49-F238E27FC236}">
              <a16:creationId xmlns:a16="http://schemas.microsoft.com/office/drawing/2014/main" id="{00000000-0008-0000-1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4922" y="36871274"/>
          <a:ext cx="720000" cy="723922"/>
        </a:xfrm>
        <a:prstGeom prst="rect">
          <a:avLst/>
        </a:prstGeom>
      </xdr:spPr>
    </xdr:pic>
    <xdr:clientData/>
  </xdr:twoCellAnchor>
  <xdr:oneCellAnchor>
    <xdr:from>
      <xdr:col>1</xdr:col>
      <xdr:colOff>89647</xdr:colOff>
      <xdr:row>61</xdr:row>
      <xdr:rowOff>437028</xdr:rowOff>
    </xdr:from>
    <xdr:ext cx="720000" cy="720000"/>
    <xdr:pic>
      <xdr:nvPicPr>
        <xdr:cNvPr id="11" name="図 10">
          <a:extLst>
            <a:ext uri="{FF2B5EF4-FFF2-40B4-BE49-F238E27FC236}">
              <a16:creationId xmlns:a16="http://schemas.microsoft.com/office/drawing/2014/main" id="{00000000-0008-0000-1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1000" y="43209881"/>
          <a:ext cx="720000" cy="720000"/>
        </a:xfrm>
        <a:prstGeom prst="rect">
          <a:avLst/>
        </a:prstGeom>
      </xdr:spPr>
    </xdr:pic>
    <xdr:clientData/>
  </xdr:oneCellAnchor>
  <xdr:twoCellAnchor editAs="oneCell">
    <xdr:from>
      <xdr:col>1</xdr:col>
      <xdr:colOff>89647</xdr:colOff>
      <xdr:row>64</xdr:row>
      <xdr:rowOff>0</xdr:rowOff>
    </xdr:from>
    <xdr:to>
      <xdr:col>2</xdr:col>
      <xdr:colOff>2823</xdr:colOff>
      <xdr:row>64</xdr:row>
      <xdr:rowOff>708570</xdr:rowOff>
    </xdr:to>
    <xdr:pic>
      <xdr:nvPicPr>
        <xdr:cNvPr id="12" name="図 11">
          <a:extLst>
            <a:ext uri="{FF2B5EF4-FFF2-40B4-BE49-F238E27FC236}">
              <a16:creationId xmlns:a16="http://schemas.microsoft.com/office/drawing/2014/main" id="{00000000-0008-0000-1300-00000C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4922" y="44662725"/>
          <a:ext cx="720000" cy="720000"/>
        </a:xfrm>
        <a:prstGeom prst="rect">
          <a:avLst/>
        </a:prstGeom>
      </xdr:spPr>
    </xdr:pic>
    <xdr:clientData/>
  </xdr:twoCellAnchor>
  <xdr:twoCellAnchor editAs="oneCell">
    <xdr:from>
      <xdr:col>1</xdr:col>
      <xdr:colOff>89647</xdr:colOff>
      <xdr:row>82</xdr:row>
      <xdr:rowOff>280147</xdr:rowOff>
    </xdr:from>
    <xdr:to>
      <xdr:col>2</xdr:col>
      <xdr:colOff>2823</xdr:colOff>
      <xdr:row>82</xdr:row>
      <xdr:rowOff>1009672</xdr:rowOff>
    </xdr:to>
    <xdr:pic>
      <xdr:nvPicPr>
        <xdr:cNvPr id="13" name="図 12">
          <a:extLst>
            <a:ext uri="{FF2B5EF4-FFF2-40B4-BE49-F238E27FC236}">
              <a16:creationId xmlns:a16="http://schemas.microsoft.com/office/drawing/2014/main" id="{00000000-0008-0000-1300-00000D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4922" y="53210572"/>
          <a:ext cx="720000" cy="720000"/>
        </a:xfrm>
        <a:prstGeom prst="rect">
          <a:avLst/>
        </a:prstGeom>
      </xdr:spPr>
    </xdr:pic>
    <xdr:clientData/>
  </xdr:twoCellAnchor>
  <xdr:twoCellAnchor editAs="oneCell">
    <xdr:from>
      <xdr:col>1</xdr:col>
      <xdr:colOff>89647</xdr:colOff>
      <xdr:row>98</xdr:row>
      <xdr:rowOff>222656</xdr:rowOff>
    </xdr:from>
    <xdr:to>
      <xdr:col>2</xdr:col>
      <xdr:colOff>2823</xdr:colOff>
      <xdr:row>99</xdr:row>
      <xdr:rowOff>593238</xdr:rowOff>
    </xdr:to>
    <xdr:pic>
      <xdr:nvPicPr>
        <xdr:cNvPr id="14" name="図 13">
          <a:extLst>
            <a:ext uri="{FF2B5EF4-FFF2-40B4-BE49-F238E27FC236}">
              <a16:creationId xmlns:a16="http://schemas.microsoft.com/office/drawing/2014/main" id="{00000000-0008-0000-1300-00000E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0" y="59916391"/>
          <a:ext cx="720000" cy="714154"/>
        </a:xfrm>
        <a:prstGeom prst="rect">
          <a:avLst/>
        </a:prstGeom>
      </xdr:spPr>
    </xdr:pic>
    <xdr:clientData/>
  </xdr:twoCellAnchor>
  <xdr:oneCellAnchor>
    <xdr:from>
      <xdr:col>1</xdr:col>
      <xdr:colOff>89647</xdr:colOff>
      <xdr:row>100</xdr:row>
      <xdr:rowOff>369793</xdr:rowOff>
    </xdr:from>
    <xdr:ext cx="720000" cy="720000"/>
    <xdr:pic>
      <xdr:nvPicPr>
        <xdr:cNvPr id="15" name="図 14">
          <a:extLst>
            <a:ext uri="{FF2B5EF4-FFF2-40B4-BE49-F238E27FC236}">
              <a16:creationId xmlns:a16="http://schemas.microsoft.com/office/drawing/2014/main" id="{00000000-0008-0000-1300-00000F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0" y="62114205"/>
          <a:ext cx="720000" cy="720000"/>
        </a:xfrm>
        <a:prstGeom prst="rect">
          <a:avLst/>
        </a:prstGeom>
      </xdr:spPr>
    </xdr:pic>
    <xdr:clientData/>
  </xdr:oneCellAnchor>
  <xdr:twoCellAnchor editAs="oneCell">
    <xdr:from>
      <xdr:col>1</xdr:col>
      <xdr:colOff>89647</xdr:colOff>
      <xdr:row>102</xdr:row>
      <xdr:rowOff>100852</xdr:rowOff>
    </xdr:from>
    <xdr:to>
      <xdr:col>2</xdr:col>
      <xdr:colOff>2823</xdr:colOff>
      <xdr:row>103</xdr:row>
      <xdr:rowOff>477279</xdr:rowOff>
    </xdr:to>
    <xdr:pic>
      <xdr:nvPicPr>
        <xdr:cNvPr id="16" name="図 15">
          <a:extLst>
            <a:ext uri="{FF2B5EF4-FFF2-40B4-BE49-F238E27FC236}">
              <a16:creationId xmlns:a16="http://schemas.microsoft.com/office/drawing/2014/main" id="{00000000-0008-0000-1300-000010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4922" y="63470677"/>
          <a:ext cx="720000" cy="715517"/>
        </a:xfrm>
        <a:prstGeom prst="rect">
          <a:avLst/>
        </a:prstGeom>
      </xdr:spPr>
    </xdr:pic>
    <xdr:clientData/>
  </xdr:twoCellAnchor>
  <xdr:oneCellAnchor>
    <xdr:from>
      <xdr:col>1</xdr:col>
      <xdr:colOff>89647</xdr:colOff>
      <xdr:row>105</xdr:row>
      <xdr:rowOff>414617</xdr:rowOff>
    </xdr:from>
    <xdr:ext cx="720000" cy="720000"/>
    <xdr:pic>
      <xdr:nvPicPr>
        <xdr:cNvPr id="17" name="図 16">
          <a:extLst>
            <a:ext uri="{FF2B5EF4-FFF2-40B4-BE49-F238E27FC236}">
              <a16:creationId xmlns:a16="http://schemas.microsoft.com/office/drawing/2014/main" id="{00000000-0008-0000-1300-000011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81000" y="67470617"/>
          <a:ext cx="720000" cy="720000"/>
        </a:xfrm>
        <a:prstGeom prst="rect">
          <a:avLst/>
        </a:prstGeom>
      </xdr:spPr>
    </xdr:pic>
    <xdr:clientData/>
  </xdr:oneCellAnchor>
  <xdr:twoCellAnchor editAs="oneCell">
    <xdr:from>
      <xdr:col>1</xdr:col>
      <xdr:colOff>89647</xdr:colOff>
      <xdr:row>106</xdr:row>
      <xdr:rowOff>741268</xdr:rowOff>
    </xdr:from>
    <xdr:to>
      <xdr:col>2</xdr:col>
      <xdr:colOff>2823</xdr:colOff>
      <xdr:row>106</xdr:row>
      <xdr:rowOff>1466983</xdr:rowOff>
    </xdr:to>
    <xdr:pic>
      <xdr:nvPicPr>
        <xdr:cNvPr id="18" name="図 17">
          <a:extLst>
            <a:ext uri="{FF2B5EF4-FFF2-40B4-BE49-F238E27FC236}">
              <a16:creationId xmlns:a16="http://schemas.microsoft.com/office/drawing/2014/main" id="{00000000-0008-0000-1300-000012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4922" y="69178393"/>
          <a:ext cx="720000" cy="729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2087880</xdr:colOff>
          <xdr:row>11</xdr:row>
          <xdr:rowOff>7620</xdr:rowOff>
        </xdr:to>
        <xdr:sp macro="" textlink="">
          <xdr:nvSpPr>
            <xdr:cNvPr id="2274311" name="GB311" hidden="1">
              <a:extLst>
                <a:ext uri="{63B3BB69-23CF-44E3-9099-C40C66FF867C}">
                  <a14:compatExt spid="_x0000_s2274311"/>
                </a:ext>
                <a:ext uri="{FF2B5EF4-FFF2-40B4-BE49-F238E27FC236}">
                  <a16:creationId xmlns:a16="http://schemas.microsoft.com/office/drawing/2014/main" id="{00000000-0008-0000-1200-000007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xdr:row>
          <xdr:rowOff>7620</xdr:rowOff>
        </xdr:from>
        <xdr:to>
          <xdr:col>10</xdr:col>
          <xdr:colOff>0</xdr:colOff>
          <xdr:row>12</xdr:row>
          <xdr:rowOff>7620</xdr:rowOff>
        </xdr:to>
        <xdr:sp macro="" textlink="">
          <xdr:nvSpPr>
            <xdr:cNvPr id="2274316" name="GB312" hidden="1">
              <a:extLst>
                <a:ext uri="{63B3BB69-23CF-44E3-9099-C40C66FF867C}">
                  <a14:compatExt spid="_x0000_s2274316"/>
                </a:ext>
                <a:ext uri="{FF2B5EF4-FFF2-40B4-BE49-F238E27FC236}">
                  <a16:creationId xmlns:a16="http://schemas.microsoft.com/office/drawing/2014/main" id="{00000000-0008-0000-1200-00000C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12</xdr:row>
          <xdr:rowOff>0</xdr:rowOff>
        </xdr:from>
        <xdr:to>
          <xdr:col>10</xdr:col>
          <xdr:colOff>0</xdr:colOff>
          <xdr:row>13</xdr:row>
          <xdr:rowOff>0</xdr:rowOff>
        </xdr:to>
        <xdr:sp macro="" textlink="">
          <xdr:nvSpPr>
            <xdr:cNvPr id="2274320" name="GB313" hidden="1">
              <a:extLst>
                <a:ext uri="{63B3BB69-23CF-44E3-9099-C40C66FF867C}">
                  <a14:compatExt spid="_x0000_s2274320"/>
                </a:ext>
                <a:ext uri="{FF2B5EF4-FFF2-40B4-BE49-F238E27FC236}">
                  <a16:creationId xmlns:a16="http://schemas.microsoft.com/office/drawing/2014/main" id="{00000000-0008-0000-1200-000010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xdr:row>
          <xdr:rowOff>0</xdr:rowOff>
        </xdr:from>
        <xdr:to>
          <xdr:col>10</xdr:col>
          <xdr:colOff>0</xdr:colOff>
          <xdr:row>14</xdr:row>
          <xdr:rowOff>0</xdr:rowOff>
        </xdr:to>
        <xdr:sp macro="" textlink="">
          <xdr:nvSpPr>
            <xdr:cNvPr id="2274328" name="GB314" hidden="1">
              <a:extLst>
                <a:ext uri="{63B3BB69-23CF-44E3-9099-C40C66FF867C}">
                  <a14:compatExt spid="_x0000_s2274328"/>
                </a:ext>
                <a:ext uri="{FF2B5EF4-FFF2-40B4-BE49-F238E27FC236}">
                  <a16:creationId xmlns:a16="http://schemas.microsoft.com/office/drawing/2014/main" id="{00000000-0008-0000-1200-000018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xdr:row>
          <xdr:rowOff>38100</xdr:rowOff>
        </xdr:from>
        <xdr:to>
          <xdr:col>10</xdr:col>
          <xdr:colOff>0</xdr:colOff>
          <xdr:row>14</xdr:row>
          <xdr:rowOff>335280</xdr:rowOff>
        </xdr:to>
        <xdr:sp macro="" textlink="">
          <xdr:nvSpPr>
            <xdr:cNvPr id="2274337" name="GB315" hidden="1">
              <a:extLst>
                <a:ext uri="{63B3BB69-23CF-44E3-9099-C40C66FF867C}">
                  <a14:compatExt spid="_x0000_s2274337"/>
                </a:ext>
                <a:ext uri="{FF2B5EF4-FFF2-40B4-BE49-F238E27FC236}">
                  <a16:creationId xmlns:a16="http://schemas.microsoft.com/office/drawing/2014/main" id="{00000000-0008-0000-1200-00002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15</xdr:row>
          <xdr:rowOff>38100</xdr:rowOff>
        </xdr:from>
        <xdr:to>
          <xdr:col>10</xdr:col>
          <xdr:colOff>0</xdr:colOff>
          <xdr:row>16</xdr:row>
          <xdr:rowOff>0</xdr:rowOff>
        </xdr:to>
        <xdr:sp macro="" textlink="">
          <xdr:nvSpPr>
            <xdr:cNvPr id="2274338" name="GB321" hidden="1">
              <a:extLst>
                <a:ext uri="{63B3BB69-23CF-44E3-9099-C40C66FF867C}">
                  <a14:compatExt spid="_x0000_s2274338"/>
                </a:ext>
                <a:ext uri="{FF2B5EF4-FFF2-40B4-BE49-F238E27FC236}">
                  <a16:creationId xmlns:a16="http://schemas.microsoft.com/office/drawing/2014/main" id="{00000000-0008-0000-1200-000022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7620</xdr:rowOff>
        </xdr:from>
        <xdr:to>
          <xdr:col>10</xdr:col>
          <xdr:colOff>0</xdr:colOff>
          <xdr:row>16</xdr:row>
          <xdr:rowOff>335280</xdr:rowOff>
        </xdr:to>
        <xdr:sp macro="" textlink="">
          <xdr:nvSpPr>
            <xdr:cNvPr id="2274343" name="GB322" hidden="1">
              <a:extLst>
                <a:ext uri="{63B3BB69-23CF-44E3-9099-C40C66FF867C}">
                  <a14:compatExt spid="_x0000_s2274343"/>
                </a:ext>
                <a:ext uri="{FF2B5EF4-FFF2-40B4-BE49-F238E27FC236}">
                  <a16:creationId xmlns:a16="http://schemas.microsoft.com/office/drawing/2014/main" id="{00000000-0008-0000-1200-000027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17</xdr:row>
          <xdr:rowOff>982980</xdr:rowOff>
        </xdr:from>
        <xdr:to>
          <xdr:col>8</xdr:col>
          <xdr:colOff>0</xdr:colOff>
          <xdr:row>17</xdr:row>
          <xdr:rowOff>1226820</xdr:rowOff>
        </xdr:to>
        <xdr:sp macro="" textlink="">
          <xdr:nvSpPr>
            <xdr:cNvPr id="2274345" name="Option Button 41" hidden="1">
              <a:extLst>
                <a:ext uri="{63B3BB69-23CF-44E3-9099-C40C66FF867C}">
                  <a14:compatExt spid="_x0000_s2274345"/>
                </a:ext>
                <a:ext uri="{FF2B5EF4-FFF2-40B4-BE49-F238E27FC236}">
                  <a16:creationId xmlns:a16="http://schemas.microsoft.com/office/drawing/2014/main" id="{00000000-0008-0000-1200-000029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17</xdr:row>
          <xdr:rowOff>982980</xdr:rowOff>
        </xdr:from>
        <xdr:to>
          <xdr:col>9</xdr:col>
          <xdr:colOff>0</xdr:colOff>
          <xdr:row>17</xdr:row>
          <xdr:rowOff>1226820</xdr:rowOff>
        </xdr:to>
        <xdr:sp macro="" textlink="">
          <xdr:nvSpPr>
            <xdr:cNvPr id="2274346" name="Option Button 42" hidden="1">
              <a:extLst>
                <a:ext uri="{63B3BB69-23CF-44E3-9099-C40C66FF867C}">
                  <a14:compatExt spid="_x0000_s2274346"/>
                </a:ext>
                <a:ext uri="{FF2B5EF4-FFF2-40B4-BE49-F238E27FC236}">
                  <a16:creationId xmlns:a16="http://schemas.microsoft.com/office/drawing/2014/main" id="{00000000-0008-0000-1200-00002A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17</xdr:row>
          <xdr:rowOff>982980</xdr:rowOff>
        </xdr:from>
        <xdr:to>
          <xdr:col>9</xdr:col>
          <xdr:colOff>541020</xdr:colOff>
          <xdr:row>17</xdr:row>
          <xdr:rowOff>1226820</xdr:rowOff>
        </xdr:to>
        <xdr:sp macro="" textlink="">
          <xdr:nvSpPr>
            <xdr:cNvPr id="2274347" name="Option Button 43" hidden="1">
              <a:extLst>
                <a:ext uri="{63B3BB69-23CF-44E3-9099-C40C66FF867C}">
                  <a14:compatExt spid="_x0000_s2274347"/>
                </a:ext>
                <a:ext uri="{FF2B5EF4-FFF2-40B4-BE49-F238E27FC236}">
                  <a16:creationId xmlns:a16="http://schemas.microsoft.com/office/drawing/2014/main" id="{00000000-0008-0000-1200-00002B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17</xdr:row>
          <xdr:rowOff>731520</xdr:rowOff>
        </xdr:from>
        <xdr:to>
          <xdr:col>10</xdr:col>
          <xdr:colOff>0</xdr:colOff>
          <xdr:row>17</xdr:row>
          <xdr:rowOff>1531620</xdr:rowOff>
        </xdr:to>
        <xdr:sp macro="" textlink="">
          <xdr:nvSpPr>
            <xdr:cNvPr id="2274349" name="GB323" hidden="1">
              <a:extLst>
                <a:ext uri="{63B3BB69-23CF-44E3-9099-C40C66FF867C}">
                  <a14:compatExt spid="_x0000_s2274349"/>
                </a:ext>
                <a:ext uri="{FF2B5EF4-FFF2-40B4-BE49-F238E27FC236}">
                  <a16:creationId xmlns:a16="http://schemas.microsoft.com/office/drawing/2014/main" id="{00000000-0008-0000-1200-00002D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18</xdr:row>
          <xdr:rowOff>22860</xdr:rowOff>
        </xdr:from>
        <xdr:to>
          <xdr:col>10</xdr:col>
          <xdr:colOff>0</xdr:colOff>
          <xdr:row>18</xdr:row>
          <xdr:rowOff>335280</xdr:rowOff>
        </xdr:to>
        <xdr:sp macro="" textlink="">
          <xdr:nvSpPr>
            <xdr:cNvPr id="2274357" name="GB331" hidden="1">
              <a:extLst>
                <a:ext uri="{63B3BB69-23CF-44E3-9099-C40C66FF867C}">
                  <a14:compatExt spid="_x0000_s2274357"/>
                </a:ext>
                <a:ext uri="{FF2B5EF4-FFF2-40B4-BE49-F238E27FC236}">
                  <a16:creationId xmlns:a16="http://schemas.microsoft.com/office/drawing/2014/main" id="{00000000-0008-0000-1200-00003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19</xdr:row>
          <xdr:rowOff>579120</xdr:rowOff>
        </xdr:from>
        <xdr:to>
          <xdr:col>8</xdr:col>
          <xdr:colOff>0</xdr:colOff>
          <xdr:row>19</xdr:row>
          <xdr:rowOff>822960</xdr:rowOff>
        </xdr:to>
        <xdr:sp macro="" textlink="">
          <xdr:nvSpPr>
            <xdr:cNvPr id="2274359" name="Option Button 55" hidden="1">
              <a:extLst>
                <a:ext uri="{63B3BB69-23CF-44E3-9099-C40C66FF867C}">
                  <a14:compatExt spid="_x0000_s2274359"/>
                </a:ext>
                <a:ext uri="{FF2B5EF4-FFF2-40B4-BE49-F238E27FC236}">
                  <a16:creationId xmlns:a16="http://schemas.microsoft.com/office/drawing/2014/main" id="{00000000-0008-0000-1200-000037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xdr:row>
          <xdr:rowOff>579120</xdr:rowOff>
        </xdr:from>
        <xdr:to>
          <xdr:col>9</xdr:col>
          <xdr:colOff>0</xdr:colOff>
          <xdr:row>19</xdr:row>
          <xdr:rowOff>822960</xdr:rowOff>
        </xdr:to>
        <xdr:sp macro="" textlink="">
          <xdr:nvSpPr>
            <xdr:cNvPr id="2274360" name="Option Button 56" hidden="1">
              <a:extLst>
                <a:ext uri="{63B3BB69-23CF-44E3-9099-C40C66FF867C}">
                  <a14:compatExt spid="_x0000_s2274360"/>
                </a:ext>
                <a:ext uri="{FF2B5EF4-FFF2-40B4-BE49-F238E27FC236}">
                  <a16:creationId xmlns:a16="http://schemas.microsoft.com/office/drawing/2014/main" id="{00000000-0008-0000-1200-000038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xdr:row>
          <xdr:rowOff>579120</xdr:rowOff>
        </xdr:from>
        <xdr:to>
          <xdr:col>9</xdr:col>
          <xdr:colOff>541020</xdr:colOff>
          <xdr:row>19</xdr:row>
          <xdr:rowOff>822960</xdr:rowOff>
        </xdr:to>
        <xdr:sp macro="" textlink="">
          <xdr:nvSpPr>
            <xdr:cNvPr id="2274361" name="Option Button 57" hidden="1">
              <a:extLst>
                <a:ext uri="{63B3BB69-23CF-44E3-9099-C40C66FF867C}">
                  <a14:compatExt spid="_x0000_s2274361"/>
                </a:ext>
                <a:ext uri="{FF2B5EF4-FFF2-40B4-BE49-F238E27FC236}">
                  <a16:creationId xmlns:a16="http://schemas.microsoft.com/office/drawing/2014/main" id="{00000000-0008-0000-1200-000039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19</xdr:row>
          <xdr:rowOff>426720</xdr:rowOff>
        </xdr:from>
        <xdr:to>
          <xdr:col>10</xdr:col>
          <xdr:colOff>0</xdr:colOff>
          <xdr:row>19</xdr:row>
          <xdr:rowOff>1211580</xdr:rowOff>
        </xdr:to>
        <xdr:sp macro="" textlink="">
          <xdr:nvSpPr>
            <xdr:cNvPr id="2274365" name="GB332" hidden="1">
              <a:extLst>
                <a:ext uri="{63B3BB69-23CF-44E3-9099-C40C66FF867C}">
                  <a14:compatExt spid="_x0000_s2274365"/>
                </a:ext>
                <a:ext uri="{FF2B5EF4-FFF2-40B4-BE49-F238E27FC236}">
                  <a16:creationId xmlns:a16="http://schemas.microsoft.com/office/drawing/2014/main" id="{00000000-0008-0000-1200-00003D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20</xdr:row>
          <xdr:rowOff>22860</xdr:rowOff>
        </xdr:from>
        <xdr:to>
          <xdr:col>10</xdr:col>
          <xdr:colOff>0</xdr:colOff>
          <xdr:row>20</xdr:row>
          <xdr:rowOff>335280</xdr:rowOff>
        </xdr:to>
        <xdr:sp macro="" textlink="">
          <xdr:nvSpPr>
            <xdr:cNvPr id="2274369" name="GB341" hidden="1">
              <a:extLst>
                <a:ext uri="{63B3BB69-23CF-44E3-9099-C40C66FF867C}">
                  <a14:compatExt spid="_x0000_s2274369"/>
                </a:ext>
                <a:ext uri="{FF2B5EF4-FFF2-40B4-BE49-F238E27FC236}">
                  <a16:creationId xmlns:a16="http://schemas.microsoft.com/office/drawing/2014/main" id="{00000000-0008-0000-1200-00004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22</xdr:row>
          <xdr:rowOff>22860</xdr:rowOff>
        </xdr:from>
        <xdr:to>
          <xdr:col>10</xdr:col>
          <xdr:colOff>0</xdr:colOff>
          <xdr:row>23</xdr:row>
          <xdr:rowOff>7620</xdr:rowOff>
        </xdr:to>
        <xdr:sp macro="" textlink="">
          <xdr:nvSpPr>
            <xdr:cNvPr id="2274373" name="GB351" hidden="1">
              <a:extLst>
                <a:ext uri="{63B3BB69-23CF-44E3-9099-C40C66FF867C}">
                  <a14:compatExt spid="_x0000_s2274373"/>
                </a:ext>
                <a:ext uri="{FF2B5EF4-FFF2-40B4-BE49-F238E27FC236}">
                  <a16:creationId xmlns:a16="http://schemas.microsoft.com/office/drawing/2014/main" id="{00000000-0008-0000-1200-00004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xdr:row>
          <xdr:rowOff>7620</xdr:rowOff>
        </xdr:from>
        <xdr:to>
          <xdr:col>10</xdr:col>
          <xdr:colOff>0</xdr:colOff>
          <xdr:row>24</xdr:row>
          <xdr:rowOff>0</xdr:rowOff>
        </xdr:to>
        <xdr:sp macro="" textlink="">
          <xdr:nvSpPr>
            <xdr:cNvPr id="2274378" name="GB352" hidden="1">
              <a:extLst>
                <a:ext uri="{63B3BB69-23CF-44E3-9099-C40C66FF867C}">
                  <a14:compatExt spid="_x0000_s2274378"/>
                </a:ext>
                <a:ext uri="{FF2B5EF4-FFF2-40B4-BE49-F238E27FC236}">
                  <a16:creationId xmlns:a16="http://schemas.microsoft.com/office/drawing/2014/main" id="{00000000-0008-0000-1200-00004A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24</xdr:row>
          <xdr:rowOff>7620</xdr:rowOff>
        </xdr:from>
        <xdr:to>
          <xdr:col>10</xdr:col>
          <xdr:colOff>0</xdr:colOff>
          <xdr:row>25</xdr:row>
          <xdr:rowOff>0</xdr:rowOff>
        </xdr:to>
        <xdr:sp macro="" textlink="">
          <xdr:nvSpPr>
            <xdr:cNvPr id="2274382" name="GB361" hidden="1">
              <a:extLst>
                <a:ext uri="{63B3BB69-23CF-44E3-9099-C40C66FF867C}">
                  <a14:compatExt spid="_x0000_s2274382"/>
                </a:ext>
                <a:ext uri="{FF2B5EF4-FFF2-40B4-BE49-F238E27FC236}">
                  <a16:creationId xmlns:a16="http://schemas.microsoft.com/office/drawing/2014/main" id="{00000000-0008-0000-1200-00004E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25</xdr:row>
          <xdr:rowOff>350520</xdr:rowOff>
        </xdr:from>
        <xdr:to>
          <xdr:col>8</xdr:col>
          <xdr:colOff>0</xdr:colOff>
          <xdr:row>25</xdr:row>
          <xdr:rowOff>579120</xdr:rowOff>
        </xdr:to>
        <xdr:sp macro="" textlink="">
          <xdr:nvSpPr>
            <xdr:cNvPr id="2274383" name="Option Button 79" hidden="1">
              <a:extLst>
                <a:ext uri="{63B3BB69-23CF-44E3-9099-C40C66FF867C}">
                  <a14:compatExt spid="_x0000_s2274383"/>
                </a:ext>
                <a:ext uri="{FF2B5EF4-FFF2-40B4-BE49-F238E27FC236}">
                  <a16:creationId xmlns:a16="http://schemas.microsoft.com/office/drawing/2014/main" id="{00000000-0008-0000-1200-00004F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25</xdr:row>
          <xdr:rowOff>350520</xdr:rowOff>
        </xdr:from>
        <xdr:to>
          <xdr:col>9</xdr:col>
          <xdr:colOff>0</xdr:colOff>
          <xdr:row>25</xdr:row>
          <xdr:rowOff>579120</xdr:rowOff>
        </xdr:to>
        <xdr:sp macro="" textlink="">
          <xdr:nvSpPr>
            <xdr:cNvPr id="2274384" name="Option Button 80" hidden="1">
              <a:extLst>
                <a:ext uri="{63B3BB69-23CF-44E3-9099-C40C66FF867C}">
                  <a14:compatExt spid="_x0000_s2274384"/>
                </a:ext>
                <a:ext uri="{FF2B5EF4-FFF2-40B4-BE49-F238E27FC236}">
                  <a16:creationId xmlns:a16="http://schemas.microsoft.com/office/drawing/2014/main" id="{00000000-0008-0000-1200-000050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25</xdr:row>
          <xdr:rowOff>350520</xdr:rowOff>
        </xdr:from>
        <xdr:to>
          <xdr:col>9</xdr:col>
          <xdr:colOff>541020</xdr:colOff>
          <xdr:row>25</xdr:row>
          <xdr:rowOff>579120</xdr:rowOff>
        </xdr:to>
        <xdr:sp macro="" textlink="">
          <xdr:nvSpPr>
            <xdr:cNvPr id="2274385" name="Option Button 81" hidden="1">
              <a:extLst>
                <a:ext uri="{63B3BB69-23CF-44E3-9099-C40C66FF867C}">
                  <a14:compatExt spid="_x0000_s2274385"/>
                </a:ext>
                <a:ext uri="{FF2B5EF4-FFF2-40B4-BE49-F238E27FC236}">
                  <a16:creationId xmlns:a16="http://schemas.microsoft.com/office/drawing/2014/main" id="{00000000-0008-0000-1200-000051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25</xdr:row>
          <xdr:rowOff>190500</xdr:rowOff>
        </xdr:from>
        <xdr:to>
          <xdr:col>10</xdr:col>
          <xdr:colOff>0</xdr:colOff>
          <xdr:row>25</xdr:row>
          <xdr:rowOff>868680</xdr:rowOff>
        </xdr:to>
        <xdr:sp macro="" textlink="">
          <xdr:nvSpPr>
            <xdr:cNvPr id="2274387" name="GB362" hidden="1">
              <a:extLst>
                <a:ext uri="{63B3BB69-23CF-44E3-9099-C40C66FF867C}">
                  <a14:compatExt spid="_x0000_s2274387"/>
                </a:ext>
                <a:ext uri="{FF2B5EF4-FFF2-40B4-BE49-F238E27FC236}">
                  <a16:creationId xmlns:a16="http://schemas.microsoft.com/office/drawing/2014/main" id="{00000000-0008-0000-1200-000053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27</xdr:row>
          <xdr:rowOff>30480</xdr:rowOff>
        </xdr:from>
        <xdr:to>
          <xdr:col>10</xdr:col>
          <xdr:colOff>0</xdr:colOff>
          <xdr:row>28</xdr:row>
          <xdr:rowOff>7620</xdr:rowOff>
        </xdr:to>
        <xdr:sp macro="" textlink="">
          <xdr:nvSpPr>
            <xdr:cNvPr id="2274392" name="GB371" hidden="1">
              <a:extLst>
                <a:ext uri="{63B3BB69-23CF-44E3-9099-C40C66FF867C}">
                  <a14:compatExt spid="_x0000_s2274392"/>
                </a:ext>
                <a:ext uri="{FF2B5EF4-FFF2-40B4-BE49-F238E27FC236}">
                  <a16:creationId xmlns:a16="http://schemas.microsoft.com/office/drawing/2014/main" id="{00000000-0008-0000-1200-000058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28</xdr:row>
          <xdr:rowOff>7620</xdr:rowOff>
        </xdr:from>
        <xdr:to>
          <xdr:col>10</xdr:col>
          <xdr:colOff>0</xdr:colOff>
          <xdr:row>28</xdr:row>
          <xdr:rowOff>335280</xdr:rowOff>
        </xdr:to>
        <xdr:sp macro="" textlink="">
          <xdr:nvSpPr>
            <xdr:cNvPr id="2274396" name="GB411" hidden="1">
              <a:extLst>
                <a:ext uri="{63B3BB69-23CF-44E3-9099-C40C66FF867C}">
                  <a14:compatExt spid="_x0000_s2274396"/>
                </a:ext>
                <a:ext uri="{FF2B5EF4-FFF2-40B4-BE49-F238E27FC236}">
                  <a16:creationId xmlns:a16="http://schemas.microsoft.com/office/drawing/2014/main" id="{00000000-0008-0000-1200-00005C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29</xdr:row>
          <xdr:rowOff>22860</xdr:rowOff>
        </xdr:from>
        <xdr:to>
          <xdr:col>10</xdr:col>
          <xdr:colOff>0</xdr:colOff>
          <xdr:row>30</xdr:row>
          <xdr:rowOff>0</xdr:rowOff>
        </xdr:to>
        <xdr:sp macro="" textlink="">
          <xdr:nvSpPr>
            <xdr:cNvPr id="2274400" name="GB412" hidden="1">
              <a:extLst>
                <a:ext uri="{63B3BB69-23CF-44E3-9099-C40C66FF867C}">
                  <a14:compatExt spid="_x0000_s2274400"/>
                </a:ext>
                <a:ext uri="{FF2B5EF4-FFF2-40B4-BE49-F238E27FC236}">
                  <a16:creationId xmlns:a16="http://schemas.microsoft.com/office/drawing/2014/main" id="{00000000-0008-0000-1200-000060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xdr:row>
          <xdr:rowOff>45720</xdr:rowOff>
        </xdr:from>
        <xdr:to>
          <xdr:col>10</xdr:col>
          <xdr:colOff>0</xdr:colOff>
          <xdr:row>31</xdr:row>
          <xdr:rowOff>0</xdr:rowOff>
        </xdr:to>
        <xdr:sp macro="" textlink="">
          <xdr:nvSpPr>
            <xdr:cNvPr id="2274404" name="GB413" hidden="1">
              <a:extLst>
                <a:ext uri="{63B3BB69-23CF-44E3-9099-C40C66FF867C}">
                  <a14:compatExt spid="_x0000_s2274404"/>
                </a:ext>
                <a:ext uri="{FF2B5EF4-FFF2-40B4-BE49-F238E27FC236}">
                  <a16:creationId xmlns:a16="http://schemas.microsoft.com/office/drawing/2014/main" id="{00000000-0008-0000-1200-000064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7620</xdr:rowOff>
        </xdr:from>
        <xdr:to>
          <xdr:col>10</xdr:col>
          <xdr:colOff>0</xdr:colOff>
          <xdr:row>32</xdr:row>
          <xdr:rowOff>0</xdr:rowOff>
        </xdr:to>
        <xdr:sp macro="" textlink="">
          <xdr:nvSpPr>
            <xdr:cNvPr id="2274408" name="GB414" hidden="1">
              <a:extLst>
                <a:ext uri="{63B3BB69-23CF-44E3-9099-C40C66FF867C}">
                  <a14:compatExt spid="_x0000_s2274408"/>
                </a:ext>
                <a:ext uri="{FF2B5EF4-FFF2-40B4-BE49-F238E27FC236}">
                  <a16:creationId xmlns:a16="http://schemas.microsoft.com/office/drawing/2014/main" id="{00000000-0008-0000-1200-000068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31</xdr:row>
          <xdr:rowOff>335280</xdr:rowOff>
        </xdr:from>
        <xdr:to>
          <xdr:col>10</xdr:col>
          <xdr:colOff>0</xdr:colOff>
          <xdr:row>33</xdr:row>
          <xdr:rowOff>0</xdr:rowOff>
        </xdr:to>
        <xdr:sp macro="" textlink="">
          <xdr:nvSpPr>
            <xdr:cNvPr id="2274412" name="GB415" hidden="1">
              <a:extLst>
                <a:ext uri="{63B3BB69-23CF-44E3-9099-C40C66FF867C}">
                  <a14:compatExt spid="_x0000_s2274412"/>
                </a:ext>
                <a:ext uri="{FF2B5EF4-FFF2-40B4-BE49-F238E27FC236}">
                  <a16:creationId xmlns:a16="http://schemas.microsoft.com/office/drawing/2014/main" id="{00000000-0008-0000-1200-00006C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33</xdr:row>
          <xdr:rowOff>525780</xdr:rowOff>
        </xdr:from>
        <xdr:to>
          <xdr:col>8</xdr:col>
          <xdr:colOff>0</xdr:colOff>
          <xdr:row>33</xdr:row>
          <xdr:rowOff>762000</xdr:rowOff>
        </xdr:to>
        <xdr:sp macro="" textlink="">
          <xdr:nvSpPr>
            <xdr:cNvPr id="2274413" name="Option Button 109" hidden="1">
              <a:extLst>
                <a:ext uri="{63B3BB69-23CF-44E3-9099-C40C66FF867C}">
                  <a14:compatExt spid="_x0000_s2274413"/>
                </a:ext>
                <a:ext uri="{FF2B5EF4-FFF2-40B4-BE49-F238E27FC236}">
                  <a16:creationId xmlns:a16="http://schemas.microsoft.com/office/drawing/2014/main" id="{00000000-0008-0000-1200-00006D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33</xdr:row>
          <xdr:rowOff>525780</xdr:rowOff>
        </xdr:from>
        <xdr:to>
          <xdr:col>9</xdr:col>
          <xdr:colOff>0</xdr:colOff>
          <xdr:row>33</xdr:row>
          <xdr:rowOff>762000</xdr:rowOff>
        </xdr:to>
        <xdr:sp macro="" textlink="">
          <xdr:nvSpPr>
            <xdr:cNvPr id="2274414" name="Option Button 110" hidden="1">
              <a:extLst>
                <a:ext uri="{63B3BB69-23CF-44E3-9099-C40C66FF867C}">
                  <a14:compatExt spid="_x0000_s2274414"/>
                </a:ext>
                <a:ext uri="{FF2B5EF4-FFF2-40B4-BE49-F238E27FC236}">
                  <a16:creationId xmlns:a16="http://schemas.microsoft.com/office/drawing/2014/main" id="{00000000-0008-0000-1200-00006E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33</xdr:row>
          <xdr:rowOff>525780</xdr:rowOff>
        </xdr:from>
        <xdr:to>
          <xdr:col>9</xdr:col>
          <xdr:colOff>541020</xdr:colOff>
          <xdr:row>33</xdr:row>
          <xdr:rowOff>762000</xdr:rowOff>
        </xdr:to>
        <xdr:sp macro="" textlink="">
          <xdr:nvSpPr>
            <xdr:cNvPr id="2274415" name="Option Button 111" hidden="1">
              <a:extLst>
                <a:ext uri="{63B3BB69-23CF-44E3-9099-C40C66FF867C}">
                  <a14:compatExt spid="_x0000_s2274415"/>
                </a:ext>
                <a:ext uri="{FF2B5EF4-FFF2-40B4-BE49-F238E27FC236}">
                  <a16:creationId xmlns:a16="http://schemas.microsoft.com/office/drawing/2014/main" id="{00000000-0008-0000-1200-00006F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33</xdr:row>
          <xdr:rowOff>312420</xdr:rowOff>
        </xdr:from>
        <xdr:to>
          <xdr:col>10</xdr:col>
          <xdr:colOff>0</xdr:colOff>
          <xdr:row>33</xdr:row>
          <xdr:rowOff>1059180</xdr:rowOff>
        </xdr:to>
        <xdr:sp macro="" textlink="">
          <xdr:nvSpPr>
            <xdr:cNvPr id="2274417" name="GB421" hidden="1">
              <a:extLst>
                <a:ext uri="{63B3BB69-23CF-44E3-9099-C40C66FF867C}">
                  <a14:compatExt spid="_x0000_s2274417"/>
                </a:ext>
                <a:ext uri="{FF2B5EF4-FFF2-40B4-BE49-F238E27FC236}">
                  <a16:creationId xmlns:a16="http://schemas.microsoft.com/office/drawing/2014/main" id="{00000000-0008-0000-1200-00007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34</xdr:row>
          <xdr:rowOff>579120</xdr:rowOff>
        </xdr:from>
        <xdr:to>
          <xdr:col>8</xdr:col>
          <xdr:colOff>0</xdr:colOff>
          <xdr:row>34</xdr:row>
          <xdr:rowOff>822960</xdr:rowOff>
        </xdr:to>
        <xdr:sp macro="" textlink="">
          <xdr:nvSpPr>
            <xdr:cNvPr id="2274418" name="Option Button 114" hidden="1">
              <a:extLst>
                <a:ext uri="{63B3BB69-23CF-44E3-9099-C40C66FF867C}">
                  <a14:compatExt spid="_x0000_s2274418"/>
                </a:ext>
                <a:ext uri="{FF2B5EF4-FFF2-40B4-BE49-F238E27FC236}">
                  <a16:creationId xmlns:a16="http://schemas.microsoft.com/office/drawing/2014/main" id="{00000000-0008-0000-1200-00007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34</xdr:row>
          <xdr:rowOff>579120</xdr:rowOff>
        </xdr:from>
        <xdr:to>
          <xdr:col>9</xdr:col>
          <xdr:colOff>0</xdr:colOff>
          <xdr:row>34</xdr:row>
          <xdr:rowOff>822960</xdr:rowOff>
        </xdr:to>
        <xdr:sp macro="" textlink="">
          <xdr:nvSpPr>
            <xdr:cNvPr id="2274419" name="Option Button 115" hidden="1">
              <a:extLst>
                <a:ext uri="{63B3BB69-23CF-44E3-9099-C40C66FF867C}">
                  <a14:compatExt spid="_x0000_s2274419"/>
                </a:ext>
                <a:ext uri="{FF2B5EF4-FFF2-40B4-BE49-F238E27FC236}">
                  <a16:creationId xmlns:a16="http://schemas.microsoft.com/office/drawing/2014/main" id="{00000000-0008-0000-1200-00007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34</xdr:row>
          <xdr:rowOff>579120</xdr:rowOff>
        </xdr:from>
        <xdr:to>
          <xdr:col>9</xdr:col>
          <xdr:colOff>541020</xdr:colOff>
          <xdr:row>34</xdr:row>
          <xdr:rowOff>822960</xdr:rowOff>
        </xdr:to>
        <xdr:sp macro="" textlink="">
          <xdr:nvSpPr>
            <xdr:cNvPr id="2274420" name="Option Button 116" hidden="1">
              <a:extLst>
                <a:ext uri="{63B3BB69-23CF-44E3-9099-C40C66FF867C}">
                  <a14:compatExt spid="_x0000_s2274420"/>
                </a:ext>
                <a:ext uri="{FF2B5EF4-FFF2-40B4-BE49-F238E27FC236}">
                  <a16:creationId xmlns:a16="http://schemas.microsoft.com/office/drawing/2014/main" id="{00000000-0008-0000-1200-000074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34</xdr:row>
          <xdr:rowOff>220980</xdr:rowOff>
        </xdr:from>
        <xdr:to>
          <xdr:col>10</xdr:col>
          <xdr:colOff>0</xdr:colOff>
          <xdr:row>34</xdr:row>
          <xdr:rowOff>1097280</xdr:rowOff>
        </xdr:to>
        <xdr:sp macro="" textlink="">
          <xdr:nvSpPr>
            <xdr:cNvPr id="2274422" name="GB422" hidden="1">
              <a:extLst>
                <a:ext uri="{63B3BB69-23CF-44E3-9099-C40C66FF867C}">
                  <a14:compatExt spid="_x0000_s2274422"/>
                </a:ext>
                <a:ext uri="{FF2B5EF4-FFF2-40B4-BE49-F238E27FC236}">
                  <a16:creationId xmlns:a16="http://schemas.microsoft.com/office/drawing/2014/main" id="{00000000-0008-0000-1200-000076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35</xdr:row>
          <xdr:rowOff>22860</xdr:rowOff>
        </xdr:from>
        <xdr:to>
          <xdr:col>10</xdr:col>
          <xdr:colOff>0</xdr:colOff>
          <xdr:row>36</xdr:row>
          <xdr:rowOff>0</xdr:rowOff>
        </xdr:to>
        <xdr:sp macro="" textlink="">
          <xdr:nvSpPr>
            <xdr:cNvPr id="2274426" name="GB511" hidden="1">
              <a:extLst>
                <a:ext uri="{63B3BB69-23CF-44E3-9099-C40C66FF867C}">
                  <a14:compatExt spid="_x0000_s2274426"/>
                </a:ext>
                <a:ext uri="{FF2B5EF4-FFF2-40B4-BE49-F238E27FC236}">
                  <a16:creationId xmlns:a16="http://schemas.microsoft.com/office/drawing/2014/main" id="{00000000-0008-0000-1200-00007A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GB511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36</xdr:row>
          <xdr:rowOff>457200</xdr:rowOff>
        </xdr:from>
        <xdr:to>
          <xdr:col>10</xdr:col>
          <xdr:colOff>0</xdr:colOff>
          <xdr:row>38</xdr:row>
          <xdr:rowOff>678180</xdr:rowOff>
        </xdr:to>
        <xdr:sp macro="" textlink="">
          <xdr:nvSpPr>
            <xdr:cNvPr id="2274431" name="GB512" hidden="1">
              <a:extLst>
                <a:ext uri="{63B3BB69-23CF-44E3-9099-C40C66FF867C}">
                  <a14:compatExt spid="_x0000_s2274431"/>
                </a:ext>
                <a:ext uri="{FF2B5EF4-FFF2-40B4-BE49-F238E27FC236}">
                  <a16:creationId xmlns:a16="http://schemas.microsoft.com/office/drawing/2014/main" id="{00000000-0008-0000-1200-00007F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GB512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37</xdr:row>
          <xdr:rowOff>22860</xdr:rowOff>
        </xdr:from>
        <xdr:to>
          <xdr:col>10</xdr:col>
          <xdr:colOff>0</xdr:colOff>
          <xdr:row>38</xdr:row>
          <xdr:rowOff>0</xdr:rowOff>
        </xdr:to>
        <xdr:sp macro="" textlink="">
          <xdr:nvSpPr>
            <xdr:cNvPr id="2274435" name="GB521" descr="GB521" hidden="1">
              <a:extLst>
                <a:ext uri="{63B3BB69-23CF-44E3-9099-C40C66FF867C}">
                  <a14:compatExt spid="_x0000_s2274435"/>
                </a:ext>
                <a:ext uri="{FF2B5EF4-FFF2-40B4-BE49-F238E27FC236}">
                  <a16:creationId xmlns:a16="http://schemas.microsoft.com/office/drawing/2014/main" id="{00000000-0008-0000-1200-000083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38</xdr:row>
          <xdr:rowOff>1127760</xdr:rowOff>
        </xdr:from>
        <xdr:to>
          <xdr:col>8</xdr:col>
          <xdr:colOff>0</xdr:colOff>
          <xdr:row>38</xdr:row>
          <xdr:rowOff>1363980</xdr:rowOff>
        </xdr:to>
        <xdr:sp macro="" textlink="">
          <xdr:nvSpPr>
            <xdr:cNvPr id="2274436" name="Option Button 132" hidden="1">
              <a:extLst>
                <a:ext uri="{63B3BB69-23CF-44E3-9099-C40C66FF867C}">
                  <a14:compatExt spid="_x0000_s2274436"/>
                </a:ext>
                <a:ext uri="{FF2B5EF4-FFF2-40B4-BE49-F238E27FC236}">
                  <a16:creationId xmlns:a16="http://schemas.microsoft.com/office/drawing/2014/main" id="{00000000-0008-0000-1200-000084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38</xdr:row>
          <xdr:rowOff>1127760</xdr:rowOff>
        </xdr:from>
        <xdr:to>
          <xdr:col>9</xdr:col>
          <xdr:colOff>0</xdr:colOff>
          <xdr:row>38</xdr:row>
          <xdr:rowOff>1363980</xdr:rowOff>
        </xdr:to>
        <xdr:sp macro="" textlink="">
          <xdr:nvSpPr>
            <xdr:cNvPr id="2274437" name="Option Button 133" hidden="1">
              <a:extLst>
                <a:ext uri="{63B3BB69-23CF-44E3-9099-C40C66FF867C}">
                  <a14:compatExt spid="_x0000_s2274437"/>
                </a:ext>
                <a:ext uri="{FF2B5EF4-FFF2-40B4-BE49-F238E27FC236}">
                  <a16:creationId xmlns:a16="http://schemas.microsoft.com/office/drawing/2014/main" id="{00000000-0008-0000-1200-000085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38</xdr:row>
          <xdr:rowOff>1127760</xdr:rowOff>
        </xdr:from>
        <xdr:to>
          <xdr:col>9</xdr:col>
          <xdr:colOff>541020</xdr:colOff>
          <xdr:row>38</xdr:row>
          <xdr:rowOff>1363980</xdr:rowOff>
        </xdr:to>
        <xdr:sp macro="" textlink="">
          <xdr:nvSpPr>
            <xdr:cNvPr id="2274438" name="Option Button 134" hidden="1">
              <a:extLst>
                <a:ext uri="{63B3BB69-23CF-44E3-9099-C40C66FF867C}">
                  <a14:compatExt spid="_x0000_s2274438"/>
                </a:ext>
                <a:ext uri="{FF2B5EF4-FFF2-40B4-BE49-F238E27FC236}">
                  <a16:creationId xmlns:a16="http://schemas.microsoft.com/office/drawing/2014/main" id="{00000000-0008-0000-1200-000086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38</xdr:row>
          <xdr:rowOff>845820</xdr:rowOff>
        </xdr:from>
        <xdr:to>
          <xdr:col>10</xdr:col>
          <xdr:colOff>0</xdr:colOff>
          <xdr:row>38</xdr:row>
          <xdr:rowOff>1874520</xdr:rowOff>
        </xdr:to>
        <xdr:sp macro="" textlink="">
          <xdr:nvSpPr>
            <xdr:cNvPr id="2274440" name="GB522" hidden="1">
              <a:extLst>
                <a:ext uri="{63B3BB69-23CF-44E3-9099-C40C66FF867C}">
                  <a14:compatExt spid="_x0000_s2274440"/>
                </a:ext>
                <a:ext uri="{FF2B5EF4-FFF2-40B4-BE49-F238E27FC236}">
                  <a16:creationId xmlns:a16="http://schemas.microsoft.com/office/drawing/2014/main" id="{00000000-0008-0000-1200-000088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GB522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40</xdr:row>
          <xdr:rowOff>22860</xdr:rowOff>
        </xdr:from>
        <xdr:to>
          <xdr:col>10</xdr:col>
          <xdr:colOff>0</xdr:colOff>
          <xdr:row>41</xdr:row>
          <xdr:rowOff>0</xdr:rowOff>
        </xdr:to>
        <xdr:sp macro="" textlink="">
          <xdr:nvSpPr>
            <xdr:cNvPr id="2274444" name="GB611" hidden="1">
              <a:extLst>
                <a:ext uri="{63B3BB69-23CF-44E3-9099-C40C66FF867C}">
                  <a14:compatExt spid="_x0000_s2274444"/>
                </a:ext>
                <a:ext uri="{FF2B5EF4-FFF2-40B4-BE49-F238E27FC236}">
                  <a16:creationId xmlns:a16="http://schemas.microsoft.com/office/drawing/2014/main" id="{00000000-0008-0000-1200-00008C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41</xdr:row>
          <xdr:rowOff>22860</xdr:rowOff>
        </xdr:from>
        <xdr:to>
          <xdr:col>10</xdr:col>
          <xdr:colOff>0</xdr:colOff>
          <xdr:row>42</xdr:row>
          <xdr:rowOff>0</xdr:rowOff>
        </xdr:to>
        <xdr:sp macro="" textlink="">
          <xdr:nvSpPr>
            <xdr:cNvPr id="2274448" name="GB612" hidden="1">
              <a:extLst>
                <a:ext uri="{63B3BB69-23CF-44E3-9099-C40C66FF867C}">
                  <a14:compatExt spid="_x0000_s2274448"/>
                </a:ext>
                <a:ext uri="{FF2B5EF4-FFF2-40B4-BE49-F238E27FC236}">
                  <a16:creationId xmlns:a16="http://schemas.microsoft.com/office/drawing/2014/main" id="{00000000-0008-0000-1200-000090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42</xdr:row>
          <xdr:rowOff>678180</xdr:rowOff>
        </xdr:from>
        <xdr:to>
          <xdr:col>8</xdr:col>
          <xdr:colOff>0</xdr:colOff>
          <xdr:row>42</xdr:row>
          <xdr:rowOff>914400</xdr:rowOff>
        </xdr:to>
        <xdr:sp macro="" textlink="">
          <xdr:nvSpPr>
            <xdr:cNvPr id="2274449" name="Option Button 145" hidden="1">
              <a:extLst>
                <a:ext uri="{63B3BB69-23CF-44E3-9099-C40C66FF867C}">
                  <a14:compatExt spid="_x0000_s2274449"/>
                </a:ext>
                <a:ext uri="{FF2B5EF4-FFF2-40B4-BE49-F238E27FC236}">
                  <a16:creationId xmlns:a16="http://schemas.microsoft.com/office/drawing/2014/main" id="{00000000-0008-0000-1200-000091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42</xdr:row>
          <xdr:rowOff>678180</xdr:rowOff>
        </xdr:from>
        <xdr:to>
          <xdr:col>9</xdr:col>
          <xdr:colOff>0</xdr:colOff>
          <xdr:row>42</xdr:row>
          <xdr:rowOff>914400</xdr:rowOff>
        </xdr:to>
        <xdr:sp macro="" textlink="">
          <xdr:nvSpPr>
            <xdr:cNvPr id="2274450" name="Option Button 146" hidden="1">
              <a:extLst>
                <a:ext uri="{63B3BB69-23CF-44E3-9099-C40C66FF867C}">
                  <a14:compatExt spid="_x0000_s2274450"/>
                </a:ext>
                <a:ext uri="{FF2B5EF4-FFF2-40B4-BE49-F238E27FC236}">
                  <a16:creationId xmlns:a16="http://schemas.microsoft.com/office/drawing/2014/main" id="{00000000-0008-0000-1200-00009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42</xdr:row>
          <xdr:rowOff>678180</xdr:rowOff>
        </xdr:from>
        <xdr:to>
          <xdr:col>9</xdr:col>
          <xdr:colOff>541020</xdr:colOff>
          <xdr:row>42</xdr:row>
          <xdr:rowOff>914400</xdr:rowOff>
        </xdr:to>
        <xdr:sp macro="" textlink="">
          <xdr:nvSpPr>
            <xdr:cNvPr id="2274451" name="Option Button 147" hidden="1">
              <a:extLst>
                <a:ext uri="{63B3BB69-23CF-44E3-9099-C40C66FF867C}">
                  <a14:compatExt spid="_x0000_s2274451"/>
                </a:ext>
                <a:ext uri="{FF2B5EF4-FFF2-40B4-BE49-F238E27FC236}">
                  <a16:creationId xmlns:a16="http://schemas.microsoft.com/office/drawing/2014/main" id="{00000000-0008-0000-1200-00009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144780</xdr:colOff>
          <xdr:row>42</xdr:row>
          <xdr:rowOff>381000</xdr:rowOff>
        </xdr:from>
        <xdr:to>
          <xdr:col>10</xdr:col>
          <xdr:colOff>0</xdr:colOff>
          <xdr:row>42</xdr:row>
          <xdr:rowOff>1417320</xdr:rowOff>
        </xdr:to>
        <xdr:sp macro="" textlink="">
          <xdr:nvSpPr>
            <xdr:cNvPr id="2274453" name="GB621" hidden="1">
              <a:extLst>
                <a:ext uri="{63B3BB69-23CF-44E3-9099-C40C66FF867C}">
                  <a14:compatExt spid="_x0000_s2274453"/>
                </a:ext>
                <a:ext uri="{FF2B5EF4-FFF2-40B4-BE49-F238E27FC236}">
                  <a16:creationId xmlns:a16="http://schemas.microsoft.com/office/drawing/2014/main" id="{00000000-0008-0000-1200-00009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44</xdr:row>
          <xdr:rowOff>937260</xdr:rowOff>
        </xdr:from>
        <xdr:to>
          <xdr:col>8</xdr:col>
          <xdr:colOff>0</xdr:colOff>
          <xdr:row>44</xdr:row>
          <xdr:rowOff>1173480</xdr:rowOff>
        </xdr:to>
        <xdr:sp macro="" textlink="">
          <xdr:nvSpPr>
            <xdr:cNvPr id="2274455" name="Option Button 151" hidden="1">
              <a:extLst>
                <a:ext uri="{63B3BB69-23CF-44E3-9099-C40C66FF867C}">
                  <a14:compatExt spid="_x0000_s2274455"/>
                </a:ext>
                <a:ext uri="{FF2B5EF4-FFF2-40B4-BE49-F238E27FC236}">
                  <a16:creationId xmlns:a16="http://schemas.microsoft.com/office/drawing/2014/main" id="{00000000-0008-0000-1200-000097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44</xdr:row>
          <xdr:rowOff>937260</xdr:rowOff>
        </xdr:from>
        <xdr:to>
          <xdr:col>9</xdr:col>
          <xdr:colOff>0</xdr:colOff>
          <xdr:row>44</xdr:row>
          <xdr:rowOff>1173480</xdr:rowOff>
        </xdr:to>
        <xdr:sp macro="" textlink="">
          <xdr:nvSpPr>
            <xdr:cNvPr id="2274456" name="Option Button 152" hidden="1">
              <a:extLst>
                <a:ext uri="{63B3BB69-23CF-44E3-9099-C40C66FF867C}">
                  <a14:compatExt spid="_x0000_s2274456"/>
                </a:ext>
                <a:ext uri="{FF2B5EF4-FFF2-40B4-BE49-F238E27FC236}">
                  <a16:creationId xmlns:a16="http://schemas.microsoft.com/office/drawing/2014/main" id="{00000000-0008-0000-1200-000098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44</xdr:row>
          <xdr:rowOff>937260</xdr:rowOff>
        </xdr:from>
        <xdr:to>
          <xdr:col>9</xdr:col>
          <xdr:colOff>541020</xdr:colOff>
          <xdr:row>44</xdr:row>
          <xdr:rowOff>1173480</xdr:rowOff>
        </xdr:to>
        <xdr:sp macro="" textlink="">
          <xdr:nvSpPr>
            <xdr:cNvPr id="2274457" name="Option Button 153" hidden="1">
              <a:extLst>
                <a:ext uri="{63B3BB69-23CF-44E3-9099-C40C66FF867C}">
                  <a14:compatExt spid="_x0000_s2274457"/>
                </a:ext>
                <a:ext uri="{FF2B5EF4-FFF2-40B4-BE49-F238E27FC236}">
                  <a16:creationId xmlns:a16="http://schemas.microsoft.com/office/drawing/2014/main" id="{00000000-0008-0000-1200-000099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44</xdr:row>
          <xdr:rowOff>655320</xdr:rowOff>
        </xdr:from>
        <xdr:to>
          <xdr:col>10</xdr:col>
          <xdr:colOff>0</xdr:colOff>
          <xdr:row>44</xdr:row>
          <xdr:rowOff>1706880</xdr:rowOff>
        </xdr:to>
        <xdr:sp macro="" textlink="">
          <xdr:nvSpPr>
            <xdr:cNvPr id="2274459" name="GB631" hidden="1">
              <a:extLst>
                <a:ext uri="{63B3BB69-23CF-44E3-9099-C40C66FF867C}">
                  <a14:compatExt spid="_x0000_s2274459"/>
                </a:ext>
                <a:ext uri="{FF2B5EF4-FFF2-40B4-BE49-F238E27FC236}">
                  <a16:creationId xmlns:a16="http://schemas.microsoft.com/office/drawing/2014/main" id="{00000000-0008-0000-1200-00009B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GB631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45</xdr:row>
          <xdr:rowOff>68580</xdr:rowOff>
        </xdr:from>
        <xdr:to>
          <xdr:col>10</xdr:col>
          <xdr:colOff>0</xdr:colOff>
          <xdr:row>45</xdr:row>
          <xdr:rowOff>373380</xdr:rowOff>
        </xdr:to>
        <xdr:sp macro="" textlink="">
          <xdr:nvSpPr>
            <xdr:cNvPr id="2274463" name="GB711" hidden="1">
              <a:extLst>
                <a:ext uri="{63B3BB69-23CF-44E3-9099-C40C66FF867C}">
                  <a14:compatExt spid="_x0000_s2274463"/>
                </a:ext>
                <a:ext uri="{FF2B5EF4-FFF2-40B4-BE49-F238E27FC236}">
                  <a16:creationId xmlns:a16="http://schemas.microsoft.com/office/drawing/2014/main" id="{00000000-0008-0000-1200-00009F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GB711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47</xdr:row>
          <xdr:rowOff>647700</xdr:rowOff>
        </xdr:from>
        <xdr:to>
          <xdr:col>8</xdr:col>
          <xdr:colOff>0</xdr:colOff>
          <xdr:row>47</xdr:row>
          <xdr:rowOff>883920</xdr:rowOff>
        </xdr:to>
        <xdr:sp macro="" textlink="">
          <xdr:nvSpPr>
            <xdr:cNvPr id="2274464" name="Option Button 160" hidden="1">
              <a:extLst>
                <a:ext uri="{63B3BB69-23CF-44E3-9099-C40C66FF867C}">
                  <a14:compatExt spid="_x0000_s2274464"/>
                </a:ext>
                <a:ext uri="{FF2B5EF4-FFF2-40B4-BE49-F238E27FC236}">
                  <a16:creationId xmlns:a16="http://schemas.microsoft.com/office/drawing/2014/main" id="{00000000-0008-0000-1200-0000A0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47</xdr:row>
          <xdr:rowOff>647700</xdr:rowOff>
        </xdr:from>
        <xdr:to>
          <xdr:col>9</xdr:col>
          <xdr:colOff>0</xdr:colOff>
          <xdr:row>47</xdr:row>
          <xdr:rowOff>883920</xdr:rowOff>
        </xdr:to>
        <xdr:sp macro="" textlink="">
          <xdr:nvSpPr>
            <xdr:cNvPr id="2274465" name="Option Button 161" hidden="1">
              <a:extLst>
                <a:ext uri="{63B3BB69-23CF-44E3-9099-C40C66FF867C}">
                  <a14:compatExt spid="_x0000_s2274465"/>
                </a:ext>
                <a:ext uri="{FF2B5EF4-FFF2-40B4-BE49-F238E27FC236}">
                  <a16:creationId xmlns:a16="http://schemas.microsoft.com/office/drawing/2014/main" id="{00000000-0008-0000-1200-0000A1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47</xdr:row>
          <xdr:rowOff>647700</xdr:rowOff>
        </xdr:from>
        <xdr:to>
          <xdr:col>9</xdr:col>
          <xdr:colOff>541020</xdr:colOff>
          <xdr:row>47</xdr:row>
          <xdr:rowOff>883920</xdr:rowOff>
        </xdr:to>
        <xdr:sp macro="" textlink="">
          <xdr:nvSpPr>
            <xdr:cNvPr id="2274466" name="Option Button 162" hidden="1">
              <a:extLst>
                <a:ext uri="{63B3BB69-23CF-44E3-9099-C40C66FF867C}">
                  <a14:compatExt spid="_x0000_s2274466"/>
                </a:ext>
                <a:ext uri="{FF2B5EF4-FFF2-40B4-BE49-F238E27FC236}">
                  <a16:creationId xmlns:a16="http://schemas.microsoft.com/office/drawing/2014/main" id="{00000000-0008-0000-1200-0000A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47</xdr:row>
          <xdr:rowOff>373380</xdr:rowOff>
        </xdr:from>
        <xdr:to>
          <xdr:col>10</xdr:col>
          <xdr:colOff>0</xdr:colOff>
          <xdr:row>47</xdr:row>
          <xdr:rowOff>1417320</xdr:rowOff>
        </xdr:to>
        <xdr:sp macro="" textlink="">
          <xdr:nvSpPr>
            <xdr:cNvPr id="2274468" name="GB721" hidden="1">
              <a:extLst>
                <a:ext uri="{63B3BB69-23CF-44E3-9099-C40C66FF867C}">
                  <a14:compatExt spid="_x0000_s2274468"/>
                </a:ext>
                <a:ext uri="{FF2B5EF4-FFF2-40B4-BE49-F238E27FC236}">
                  <a16:creationId xmlns:a16="http://schemas.microsoft.com/office/drawing/2014/main" id="{00000000-0008-0000-1200-0000A4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48</xdr:row>
          <xdr:rowOff>617220</xdr:rowOff>
        </xdr:from>
        <xdr:to>
          <xdr:col>8</xdr:col>
          <xdr:colOff>0</xdr:colOff>
          <xdr:row>48</xdr:row>
          <xdr:rowOff>861060</xdr:rowOff>
        </xdr:to>
        <xdr:sp macro="" textlink="">
          <xdr:nvSpPr>
            <xdr:cNvPr id="2274469" name="Option Button 165" hidden="1">
              <a:extLst>
                <a:ext uri="{63B3BB69-23CF-44E3-9099-C40C66FF867C}">
                  <a14:compatExt spid="_x0000_s2274469"/>
                </a:ext>
                <a:ext uri="{FF2B5EF4-FFF2-40B4-BE49-F238E27FC236}">
                  <a16:creationId xmlns:a16="http://schemas.microsoft.com/office/drawing/2014/main" id="{00000000-0008-0000-1200-0000A5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48</xdr:row>
          <xdr:rowOff>617220</xdr:rowOff>
        </xdr:from>
        <xdr:to>
          <xdr:col>9</xdr:col>
          <xdr:colOff>0</xdr:colOff>
          <xdr:row>48</xdr:row>
          <xdr:rowOff>861060</xdr:rowOff>
        </xdr:to>
        <xdr:sp macro="" textlink="">
          <xdr:nvSpPr>
            <xdr:cNvPr id="2274470" name="Option Button 166" hidden="1">
              <a:extLst>
                <a:ext uri="{63B3BB69-23CF-44E3-9099-C40C66FF867C}">
                  <a14:compatExt spid="_x0000_s2274470"/>
                </a:ext>
                <a:ext uri="{FF2B5EF4-FFF2-40B4-BE49-F238E27FC236}">
                  <a16:creationId xmlns:a16="http://schemas.microsoft.com/office/drawing/2014/main" id="{00000000-0008-0000-1200-0000A6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48</xdr:row>
          <xdr:rowOff>617220</xdr:rowOff>
        </xdr:from>
        <xdr:to>
          <xdr:col>9</xdr:col>
          <xdr:colOff>541020</xdr:colOff>
          <xdr:row>48</xdr:row>
          <xdr:rowOff>861060</xdr:rowOff>
        </xdr:to>
        <xdr:sp macro="" textlink="">
          <xdr:nvSpPr>
            <xdr:cNvPr id="2274471" name="Option Button 167" hidden="1">
              <a:extLst>
                <a:ext uri="{63B3BB69-23CF-44E3-9099-C40C66FF867C}">
                  <a14:compatExt spid="_x0000_s2274471"/>
                </a:ext>
                <a:ext uri="{FF2B5EF4-FFF2-40B4-BE49-F238E27FC236}">
                  <a16:creationId xmlns:a16="http://schemas.microsoft.com/office/drawing/2014/main" id="{00000000-0008-0000-1200-0000A7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48</xdr:row>
          <xdr:rowOff>342900</xdr:rowOff>
        </xdr:from>
        <xdr:to>
          <xdr:col>10</xdr:col>
          <xdr:colOff>0</xdr:colOff>
          <xdr:row>48</xdr:row>
          <xdr:rowOff>1402080</xdr:rowOff>
        </xdr:to>
        <xdr:sp macro="" textlink="">
          <xdr:nvSpPr>
            <xdr:cNvPr id="2274473" name="GB722" hidden="1">
              <a:extLst>
                <a:ext uri="{63B3BB69-23CF-44E3-9099-C40C66FF867C}">
                  <a14:compatExt spid="_x0000_s2274473"/>
                </a:ext>
                <a:ext uri="{FF2B5EF4-FFF2-40B4-BE49-F238E27FC236}">
                  <a16:creationId xmlns:a16="http://schemas.microsoft.com/office/drawing/2014/main" id="{00000000-0008-0000-1200-0000A9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49</xdr:row>
          <xdr:rowOff>30480</xdr:rowOff>
        </xdr:from>
        <xdr:to>
          <xdr:col>10</xdr:col>
          <xdr:colOff>0</xdr:colOff>
          <xdr:row>50</xdr:row>
          <xdr:rowOff>0</xdr:rowOff>
        </xdr:to>
        <xdr:sp macro="" textlink="">
          <xdr:nvSpPr>
            <xdr:cNvPr id="2274477" name="GB811" hidden="1">
              <a:extLst>
                <a:ext uri="{63B3BB69-23CF-44E3-9099-C40C66FF867C}">
                  <a14:compatExt spid="_x0000_s2274477"/>
                </a:ext>
                <a:ext uri="{FF2B5EF4-FFF2-40B4-BE49-F238E27FC236}">
                  <a16:creationId xmlns:a16="http://schemas.microsoft.com/office/drawing/2014/main" id="{00000000-0008-0000-1200-0000AD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50</xdr:row>
          <xdr:rowOff>22860</xdr:rowOff>
        </xdr:from>
        <xdr:to>
          <xdr:col>10</xdr:col>
          <xdr:colOff>0</xdr:colOff>
          <xdr:row>50</xdr:row>
          <xdr:rowOff>335280</xdr:rowOff>
        </xdr:to>
        <xdr:sp macro="" textlink="">
          <xdr:nvSpPr>
            <xdr:cNvPr id="2274481" name="GB812" hidden="1">
              <a:extLst>
                <a:ext uri="{63B3BB69-23CF-44E3-9099-C40C66FF867C}">
                  <a14:compatExt spid="_x0000_s2274481"/>
                </a:ext>
                <a:ext uri="{FF2B5EF4-FFF2-40B4-BE49-F238E27FC236}">
                  <a16:creationId xmlns:a16="http://schemas.microsoft.com/office/drawing/2014/main" id="{00000000-0008-0000-1200-0000B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51</xdr:row>
          <xdr:rowOff>22860</xdr:rowOff>
        </xdr:from>
        <xdr:to>
          <xdr:col>10</xdr:col>
          <xdr:colOff>0</xdr:colOff>
          <xdr:row>51</xdr:row>
          <xdr:rowOff>335280</xdr:rowOff>
        </xdr:to>
        <xdr:sp macro="" textlink="">
          <xdr:nvSpPr>
            <xdr:cNvPr id="2274485" name="GB813" hidden="1">
              <a:extLst>
                <a:ext uri="{63B3BB69-23CF-44E3-9099-C40C66FF867C}">
                  <a14:compatExt spid="_x0000_s2274485"/>
                </a:ext>
                <a:ext uri="{FF2B5EF4-FFF2-40B4-BE49-F238E27FC236}">
                  <a16:creationId xmlns:a16="http://schemas.microsoft.com/office/drawing/2014/main" id="{00000000-0008-0000-1200-0000B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52</xdr:row>
          <xdr:rowOff>22860</xdr:rowOff>
        </xdr:from>
        <xdr:to>
          <xdr:col>10</xdr:col>
          <xdr:colOff>0</xdr:colOff>
          <xdr:row>52</xdr:row>
          <xdr:rowOff>335280</xdr:rowOff>
        </xdr:to>
        <xdr:sp macro="" textlink="">
          <xdr:nvSpPr>
            <xdr:cNvPr id="2274489" name="GB814" hidden="1">
              <a:extLst>
                <a:ext uri="{63B3BB69-23CF-44E3-9099-C40C66FF867C}">
                  <a14:compatExt spid="_x0000_s2274489"/>
                </a:ext>
                <a:ext uri="{FF2B5EF4-FFF2-40B4-BE49-F238E27FC236}">
                  <a16:creationId xmlns:a16="http://schemas.microsoft.com/office/drawing/2014/main" id="{00000000-0008-0000-1200-0000B9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53</xdr:row>
          <xdr:rowOff>22860</xdr:rowOff>
        </xdr:from>
        <xdr:to>
          <xdr:col>10</xdr:col>
          <xdr:colOff>0</xdr:colOff>
          <xdr:row>53</xdr:row>
          <xdr:rowOff>335280</xdr:rowOff>
        </xdr:to>
        <xdr:sp macro="" textlink="">
          <xdr:nvSpPr>
            <xdr:cNvPr id="2274493" name="GB815" hidden="1">
              <a:extLst>
                <a:ext uri="{63B3BB69-23CF-44E3-9099-C40C66FF867C}">
                  <a14:compatExt spid="_x0000_s2274493"/>
                </a:ext>
                <a:ext uri="{FF2B5EF4-FFF2-40B4-BE49-F238E27FC236}">
                  <a16:creationId xmlns:a16="http://schemas.microsoft.com/office/drawing/2014/main" id="{00000000-0008-0000-1200-0000BD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54</xdr:row>
          <xdr:rowOff>678180</xdr:rowOff>
        </xdr:from>
        <xdr:to>
          <xdr:col>8</xdr:col>
          <xdr:colOff>0</xdr:colOff>
          <xdr:row>54</xdr:row>
          <xdr:rowOff>914400</xdr:rowOff>
        </xdr:to>
        <xdr:sp macro="" textlink="">
          <xdr:nvSpPr>
            <xdr:cNvPr id="2274494" name="Option Button 190" hidden="1">
              <a:extLst>
                <a:ext uri="{63B3BB69-23CF-44E3-9099-C40C66FF867C}">
                  <a14:compatExt spid="_x0000_s2274494"/>
                </a:ext>
                <a:ext uri="{FF2B5EF4-FFF2-40B4-BE49-F238E27FC236}">
                  <a16:creationId xmlns:a16="http://schemas.microsoft.com/office/drawing/2014/main" id="{00000000-0008-0000-1200-0000BE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54</xdr:row>
          <xdr:rowOff>678180</xdr:rowOff>
        </xdr:from>
        <xdr:to>
          <xdr:col>9</xdr:col>
          <xdr:colOff>0</xdr:colOff>
          <xdr:row>54</xdr:row>
          <xdr:rowOff>914400</xdr:rowOff>
        </xdr:to>
        <xdr:sp macro="" textlink="">
          <xdr:nvSpPr>
            <xdr:cNvPr id="2274495" name="Option Button 191" hidden="1">
              <a:extLst>
                <a:ext uri="{63B3BB69-23CF-44E3-9099-C40C66FF867C}">
                  <a14:compatExt spid="_x0000_s2274495"/>
                </a:ext>
                <a:ext uri="{FF2B5EF4-FFF2-40B4-BE49-F238E27FC236}">
                  <a16:creationId xmlns:a16="http://schemas.microsoft.com/office/drawing/2014/main" id="{00000000-0008-0000-1200-0000BF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54</xdr:row>
          <xdr:rowOff>678180</xdr:rowOff>
        </xdr:from>
        <xdr:to>
          <xdr:col>9</xdr:col>
          <xdr:colOff>541020</xdr:colOff>
          <xdr:row>54</xdr:row>
          <xdr:rowOff>914400</xdr:rowOff>
        </xdr:to>
        <xdr:sp macro="" textlink="">
          <xdr:nvSpPr>
            <xdr:cNvPr id="2274496" name="Option Button 192" hidden="1">
              <a:extLst>
                <a:ext uri="{63B3BB69-23CF-44E3-9099-C40C66FF867C}">
                  <a14:compatExt spid="_x0000_s2274496"/>
                </a:ext>
                <a:ext uri="{FF2B5EF4-FFF2-40B4-BE49-F238E27FC236}">
                  <a16:creationId xmlns:a16="http://schemas.microsoft.com/office/drawing/2014/main" id="{00000000-0008-0000-1200-0000C0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54</xdr:row>
          <xdr:rowOff>403860</xdr:rowOff>
        </xdr:from>
        <xdr:to>
          <xdr:col>10</xdr:col>
          <xdr:colOff>0</xdr:colOff>
          <xdr:row>54</xdr:row>
          <xdr:rowOff>1440180</xdr:rowOff>
        </xdr:to>
        <xdr:sp macro="" textlink="">
          <xdr:nvSpPr>
            <xdr:cNvPr id="2274498" name="GB821" hidden="1">
              <a:extLst>
                <a:ext uri="{63B3BB69-23CF-44E3-9099-C40C66FF867C}">
                  <a14:compatExt spid="_x0000_s2274498"/>
                </a:ext>
                <a:ext uri="{FF2B5EF4-FFF2-40B4-BE49-F238E27FC236}">
                  <a16:creationId xmlns:a16="http://schemas.microsoft.com/office/drawing/2014/main" id="{00000000-0008-0000-1200-0000C2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55</xdr:row>
          <xdr:rowOff>594360</xdr:rowOff>
        </xdr:from>
        <xdr:to>
          <xdr:col>8</xdr:col>
          <xdr:colOff>0</xdr:colOff>
          <xdr:row>55</xdr:row>
          <xdr:rowOff>830580</xdr:rowOff>
        </xdr:to>
        <xdr:sp macro="" textlink="">
          <xdr:nvSpPr>
            <xdr:cNvPr id="2274499" name="Option Button 195" hidden="1">
              <a:extLst>
                <a:ext uri="{63B3BB69-23CF-44E3-9099-C40C66FF867C}">
                  <a14:compatExt spid="_x0000_s2274499"/>
                </a:ext>
                <a:ext uri="{FF2B5EF4-FFF2-40B4-BE49-F238E27FC236}">
                  <a16:creationId xmlns:a16="http://schemas.microsoft.com/office/drawing/2014/main" id="{00000000-0008-0000-1200-0000C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55</xdr:row>
          <xdr:rowOff>594360</xdr:rowOff>
        </xdr:from>
        <xdr:to>
          <xdr:col>9</xdr:col>
          <xdr:colOff>0</xdr:colOff>
          <xdr:row>55</xdr:row>
          <xdr:rowOff>830580</xdr:rowOff>
        </xdr:to>
        <xdr:sp macro="" textlink="">
          <xdr:nvSpPr>
            <xdr:cNvPr id="2274500" name="Option Button 196" hidden="1">
              <a:extLst>
                <a:ext uri="{63B3BB69-23CF-44E3-9099-C40C66FF867C}">
                  <a14:compatExt spid="_x0000_s2274500"/>
                </a:ext>
                <a:ext uri="{FF2B5EF4-FFF2-40B4-BE49-F238E27FC236}">
                  <a16:creationId xmlns:a16="http://schemas.microsoft.com/office/drawing/2014/main" id="{00000000-0008-0000-1200-0000C4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55</xdr:row>
          <xdr:rowOff>594360</xdr:rowOff>
        </xdr:from>
        <xdr:to>
          <xdr:col>9</xdr:col>
          <xdr:colOff>541020</xdr:colOff>
          <xdr:row>55</xdr:row>
          <xdr:rowOff>830580</xdr:rowOff>
        </xdr:to>
        <xdr:sp macro="" textlink="">
          <xdr:nvSpPr>
            <xdr:cNvPr id="2274501" name="Option Button 197" hidden="1">
              <a:extLst>
                <a:ext uri="{63B3BB69-23CF-44E3-9099-C40C66FF867C}">
                  <a14:compatExt spid="_x0000_s2274501"/>
                </a:ext>
                <a:ext uri="{FF2B5EF4-FFF2-40B4-BE49-F238E27FC236}">
                  <a16:creationId xmlns:a16="http://schemas.microsoft.com/office/drawing/2014/main" id="{00000000-0008-0000-1200-0000C5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55</xdr:row>
          <xdr:rowOff>541020</xdr:rowOff>
        </xdr:from>
        <xdr:to>
          <xdr:col>10</xdr:col>
          <xdr:colOff>0</xdr:colOff>
          <xdr:row>55</xdr:row>
          <xdr:rowOff>1181100</xdr:rowOff>
        </xdr:to>
        <xdr:sp macro="" textlink="">
          <xdr:nvSpPr>
            <xdr:cNvPr id="2274503" name="GB822" hidden="1">
              <a:extLst>
                <a:ext uri="{63B3BB69-23CF-44E3-9099-C40C66FF867C}">
                  <a14:compatExt spid="_x0000_s2274503"/>
                </a:ext>
                <a:ext uri="{FF2B5EF4-FFF2-40B4-BE49-F238E27FC236}">
                  <a16:creationId xmlns:a16="http://schemas.microsoft.com/office/drawing/2014/main" id="{00000000-0008-0000-1200-0000C7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56</xdr:row>
          <xdr:rowOff>365760</xdr:rowOff>
        </xdr:from>
        <xdr:to>
          <xdr:col>8</xdr:col>
          <xdr:colOff>0</xdr:colOff>
          <xdr:row>56</xdr:row>
          <xdr:rowOff>601980</xdr:rowOff>
        </xdr:to>
        <xdr:sp macro="" textlink="">
          <xdr:nvSpPr>
            <xdr:cNvPr id="2274509" name="Option Button 205" hidden="1">
              <a:extLst>
                <a:ext uri="{63B3BB69-23CF-44E3-9099-C40C66FF867C}">
                  <a14:compatExt spid="_x0000_s2274509"/>
                </a:ext>
                <a:ext uri="{FF2B5EF4-FFF2-40B4-BE49-F238E27FC236}">
                  <a16:creationId xmlns:a16="http://schemas.microsoft.com/office/drawing/2014/main" id="{00000000-0008-0000-1200-0000CD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56</xdr:row>
          <xdr:rowOff>365760</xdr:rowOff>
        </xdr:from>
        <xdr:to>
          <xdr:col>9</xdr:col>
          <xdr:colOff>0</xdr:colOff>
          <xdr:row>56</xdr:row>
          <xdr:rowOff>601980</xdr:rowOff>
        </xdr:to>
        <xdr:sp macro="" textlink="">
          <xdr:nvSpPr>
            <xdr:cNvPr id="2274510" name="Option Button 206" hidden="1">
              <a:extLst>
                <a:ext uri="{63B3BB69-23CF-44E3-9099-C40C66FF867C}">
                  <a14:compatExt spid="_x0000_s2274510"/>
                </a:ext>
                <a:ext uri="{FF2B5EF4-FFF2-40B4-BE49-F238E27FC236}">
                  <a16:creationId xmlns:a16="http://schemas.microsoft.com/office/drawing/2014/main" id="{00000000-0008-0000-1200-0000CE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56</xdr:row>
          <xdr:rowOff>365760</xdr:rowOff>
        </xdr:from>
        <xdr:to>
          <xdr:col>9</xdr:col>
          <xdr:colOff>541020</xdr:colOff>
          <xdr:row>56</xdr:row>
          <xdr:rowOff>601980</xdr:rowOff>
        </xdr:to>
        <xdr:sp macro="" textlink="">
          <xdr:nvSpPr>
            <xdr:cNvPr id="2274511" name="Option Button 207" hidden="1">
              <a:extLst>
                <a:ext uri="{63B3BB69-23CF-44E3-9099-C40C66FF867C}">
                  <a14:compatExt spid="_x0000_s2274511"/>
                </a:ext>
                <a:ext uri="{FF2B5EF4-FFF2-40B4-BE49-F238E27FC236}">
                  <a16:creationId xmlns:a16="http://schemas.microsoft.com/office/drawing/2014/main" id="{00000000-0008-0000-1200-0000CF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56</xdr:row>
          <xdr:rowOff>274320</xdr:rowOff>
        </xdr:from>
        <xdr:to>
          <xdr:col>10</xdr:col>
          <xdr:colOff>0</xdr:colOff>
          <xdr:row>56</xdr:row>
          <xdr:rowOff>914400</xdr:rowOff>
        </xdr:to>
        <xdr:sp macro="" textlink="">
          <xdr:nvSpPr>
            <xdr:cNvPr id="2274513" name="GB911" hidden="1">
              <a:extLst>
                <a:ext uri="{63B3BB69-23CF-44E3-9099-C40C66FF867C}">
                  <a14:compatExt spid="_x0000_s2274513"/>
                </a:ext>
                <a:ext uri="{FF2B5EF4-FFF2-40B4-BE49-F238E27FC236}">
                  <a16:creationId xmlns:a16="http://schemas.microsoft.com/office/drawing/2014/main" id="{00000000-0008-0000-1200-0000D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57</xdr:row>
          <xdr:rowOff>304800</xdr:rowOff>
        </xdr:from>
        <xdr:to>
          <xdr:col>8</xdr:col>
          <xdr:colOff>0</xdr:colOff>
          <xdr:row>57</xdr:row>
          <xdr:rowOff>541020</xdr:rowOff>
        </xdr:to>
        <xdr:sp macro="" textlink="">
          <xdr:nvSpPr>
            <xdr:cNvPr id="2274514" name="Option Button 210" hidden="1">
              <a:extLst>
                <a:ext uri="{63B3BB69-23CF-44E3-9099-C40C66FF867C}">
                  <a14:compatExt spid="_x0000_s2274514"/>
                </a:ext>
                <a:ext uri="{FF2B5EF4-FFF2-40B4-BE49-F238E27FC236}">
                  <a16:creationId xmlns:a16="http://schemas.microsoft.com/office/drawing/2014/main" id="{00000000-0008-0000-1200-0000D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57</xdr:row>
          <xdr:rowOff>304800</xdr:rowOff>
        </xdr:from>
        <xdr:to>
          <xdr:col>9</xdr:col>
          <xdr:colOff>0</xdr:colOff>
          <xdr:row>57</xdr:row>
          <xdr:rowOff>541020</xdr:rowOff>
        </xdr:to>
        <xdr:sp macro="" textlink="">
          <xdr:nvSpPr>
            <xdr:cNvPr id="2274515" name="Option Button 211" hidden="1">
              <a:extLst>
                <a:ext uri="{63B3BB69-23CF-44E3-9099-C40C66FF867C}">
                  <a14:compatExt spid="_x0000_s2274515"/>
                </a:ext>
                <a:ext uri="{FF2B5EF4-FFF2-40B4-BE49-F238E27FC236}">
                  <a16:creationId xmlns:a16="http://schemas.microsoft.com/office/drawing/2014/main" id="{00000000-0008-0000-1200-0000D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57</xdr:row>
          <xdr:rowOff>304800</xdr:rowOff>
        </xdr:from>
        <xdr:to>
          <xdr:col>9</xdr:col>
          <xdr:colOff>541020</xdr:colOff>
          <xdr:row>57</xdr:row>
          <xdr:rowOff>541020</xdr:rowOff>
        </xdr:to>
        <xdr:sp macro="" textlink="">
          <xdr:nvSpPr>
            <xdr:cNvPr id="2274516" name="Option Button 212" hidden="1">
              <a:extLst>
                <a:ext uri="{63B3BB69-23CF-44E3-9099-C40C66FF867C}">
                  <a14:compatExt spid="_x0000_s2274516"/>
                </a:ext>
                <a:ext uri="{FF2B5EF4-FFF2-40B4-BE49-F238E27FC236}">
                  <a16:creationId xmlns:a16="http://schemas.microsoft.com/office/drawing/2014/main" id="{00000000-0008-0000-1200-0000D4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57</xdr:row>
          <xdr:rowOff>160020</xdr:rowOff>
        </xdr:from>
        <xdr:to>
          <xdr:col>10</xdr:col>
          <xdr:colOff>0</xdr:colOff>
          <xdr:row>57</xdr:row>
          <xdr:rowOff>800100</xdr:rowOff>
        </xdr:to>
        <xdr:sp macro="" textlink="">
          <xdr:nvSpPr>
            <xdr:cNvPr id="2274518" name="GB912" hidden="1">
              <a:extLst>
                <a:ext uri="{63B3BB69-23CF-44E3-9099-C40C66FF867C}">
                  <a14:compatExt spid="_x0000_s2274518"/>
                </a:ext>
                <a:ext uri="{FF2B5EF4-FFF2-40B4-BE49-F238E27FC236}">
                  <a16:creationId xmlns:a16="http://schemas.microsoft.com/office/drawing/2014/main" id="{00000000-0008-0000-1200-0000D6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58</xdr:row>
          <xdr:rowOff>342900</xdr:rowOff>
        </xdr:from>
        <xdr:to>
          <xdr:col>8</xdr:col>
          <xdr:colOff>0</xdr:colOff>
          <xdr:row>58</xdr:row>
          <xdr:rowOff>579120</xdr:rowOff>
        </xdr:to>
        <xdr:sp macro="" textlink="">
          <xdr:nvSpPr>
            <xdr:cNvPr id="2274519" name="Option Button 215" hidden="1">
              <a:extLst>
                <a:ext uri="{63B3BB69-23CF-44E3-9099-C40C66FF867C}">
                  <a14:compatExt spid="_x0000_s2274519"/>
                </a:ext>
                <a:ext uri="{FF2B5EF4-FFF2-40B4-BE49-F238E27FC236}">
                  <a16:creationId xmlns:a16="http://schemas.microsoft.com/office/drawing/2014/main" id="{00000000-0008-0000-1200-0000D7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58</xdr:row>
          <xdr:rowOff>342900</xdr:rowOff>
        </xdr:from>
        <xdr:to>
          <xdr:col>9</xdr:col>
          <xdr:colOff>0</xdr:colOff>
          <xdr:row>58</xdr:row>
          <xdr:rowOff>579120</xdr:rowOff>
        </xdr:to>
        <xdr:sp macro="" textlink="">
          <xdr:nvSpPr>
            <xdr:cNvPr id="2274520" name="Option Button 216" hidden="1">
              <a:extLst>
                <a:ext uri="{63B3BB69-23CF-44E3-9099-C40C66FF867C}">
                  <a14:compatExt spid="_x0000_s2274520"/>
                </a:ext>
                <a:ext uri="{FF2B5EF4-FFF2-40B4-BE49-F238E27FC236}">
                  <a16:creationId xmlns:a16="http://schemas.microsoft.com/office/drawing/2014/main" id="{00000000-0008-0000-1200-0000D8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58</xdr:row>
          <xdr:rowOff>342900</xdr:rowOff>
        </xdr:from>
        <xdr:to>
          <xdr:col>9</xdr:col>
          <xdr:colOff>541020</xdr:colOff>
          <xdr:row>58</xdr:row>
          <xdr:rowOff>579120</xdr:rowOff>
        </xdr:to>
        <xdr:sp macro="" textlink="">
          <xdr:nvSpPr>
            <xdr:cNvPr id="2274521" name="Option Button 217" hidden="1">
              <a:extLst>
                <a:ext uri="{63B3BB69-23CF-44E3-9099-C40C66FF867C}">
                  <a14:compatExt spid="_x0000_s2274521"/>
                </a:ext>
                <a:ext uri="{FF2B5EF4-FFF2-40B4-BE49-F238E27FC236}">
                  <a16:creationId xmlns:a16="http://schemas.microsoft.com/office/drawing/2014/main" id="{00000000-0008-0000-1200-0000D9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58</xdr:row>
          <xdr:rowOff>236220</xdr:rowOff>
        </xdr:from>
        <xdr:to>
          <xdr:col>10</xdr:col>
          <xdr:colOff>0</xdr:colOff>
          <xdr:row>58</xdr:row>
          <xdr:rowOff>868680</xdr:rowOff>
        </xdr:to>
        <xdr:sp macro="" textlink="">
          <xdr:nvSpPr>
            <xdr:cNvPr id="2274523" name="GB913" hidden="1">
              <a:extLst>
                <a:ext uri="{63B3BB69-23CF-44E3-9099-C40C66FF867C}">
                  <a14:compatExt spid="_x0000_s2274523"/>
                </a:ext>
                <a:ext uri="{FF2B5EF4-FFF2-40B4-BE49-F238E27FC236}">
                  <a16:creationId xmlns:a16="http://schemas.microsoft.com/office/drawing/2014/main" id="{00000000-0008-0000-1200-0000DB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59</xdr:row>
          <xdr:rowOff>754380</xdr:rowOff>
        </xdr:from>
        <xdr:to>
          <xdr:col>8</xdr:col>
          <xdr:colOff>0</xdr:colOff>
          <xdr:row>59</xdr:row>
          <xdr:rowOff>998220</xdr:rowOff>
        </xdr:to>
        <xdr:sp macro="" textlink="">
          <xdr:nvSpPr>
            <xdr:cNvPr id="2274524" name="Option Button 220" hidden="1">
              <a:extLst>
                <a:ext uri="{63B3BB69-23CF-44E3-9099-C40C66FF867C}">
                  <a14:compatExt spid="_x0000_s2274524"/>
                </a:ext>
                <a:ext uri="{FF2B5EF4-FFF2-40B4-BE49-F238E27FC236}">
                  <a16:creationId xmlns:a16="http://schemas.microsoft.com/office/drawing/2014/main" id="{00000000-0008-0000-1200-0000DC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59</xdr:row>
          <xdr:rowOff>754380</xdr:rowOff>
        </xdr:from>
        <xdr:to>
          <xdr:col>9</xdr:col>
          <xdr:colOff>0</xdr:colOff>
          <xdr:row>59</xdr:row>
          <xdr:rowOff>998220</xdr:rowOff>
        </xdr:to>
        <xdr:sp macro="" textlink="">
          <xdr:nvSpPr>
            <xdr:cNvPr id="2274525" name="Option Button 221" hidden="1">
              <a:extLst>
                <a:ext uri="{63B3BB69-23CF-44E3-9099-C40C66FF867C}">
                  <a14:compatExt spid="_x0000_s2274525"/>
                </a:ext>
                <a:ext uri="{FF2B5EF4-FFF2-40B4-BE49-F238E27FC236}">
                  <a16:creationId xmlns:a16="http://schemas.microsoft.com/office/drawing/2014/main" id="{00000000-0008-0000-1200-0000DD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59</xdr:row>
          <xdr:rowOff>754380</xdr:rowOff>
        </xdr:from>
        <xdr:to>
          <xdr:col>9</xdr:col>
          <xdr:colOff>541020</xdr:colOff>
          <xdr:row>59</xdr:row>
          <xdr:rowOff>998220</xdr:rowOff>
        </xdr:to>
        <xdr:sp macro="" textlink="">
          <xdr:nvSpPr>
            <xdr:cNvPr id="2274526" name="Option Button 222" hidden="1">
              <a:extLst>
                <a:ext uri="{63B3BB69-23CF-44E3-9099-C40C66FF867C}">
                  <a14:compatExt spid="_x0000_s2274526"/>
                </a:ext>
                <a:ext uri="{FF2B5EF4-FFF2-40B4-BE49-F238E27FC236}">
                  <a16:creationId xmlns:a16="http://schemas.microsoft.com/office/drawing/2014/main" id="{00000000-0008-0000-1200-0000DE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59</xdr:row>
          <xdr:rowOff>632460</xdr:rowOff>
        </xdr:from>
        <xdr:to>
          <xdr:col>10</xdr:col>
          <xdr:colOff>0</xdr:colOff>
          <xdr:row>59</xdr:row>
          <xdr:rowOff>1264920</xdr:rowOff>
        </xdr:to>
        <xdr:sp macro="" textlink="">
          <xdr:nvSpPr>
            <xdr:cNvPr id="2274528" name="GB914" hidden="1">
              <a:extLst>
                <a:ext uri="{63B3BB69-23CF-44E3-9099-C40C66FF867C}">
                  <a14:compatExt spid="_x0000_s2274528"/>
                </a:ext>
                <a:ext uri="{FF2B5EF4-FFF2-40B4-BE49-F238E27FC236}">
                  <a16:creationId xmlns:a16="http://schemas.microsoft.com/office/drawing/2014/main" id="{00000000-0008-0000-1200-0000E0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60</xdr:row>
          <xdr:rowOff>876300</xdr:rowOff>
        </xdr:from>
        <xdr:to>
          <xdr:col>8</xdr:col>
          <xdr:colOff>0</xdr:colOff>
          <xdr:row>60</xdr:row>
          <xdr:rowOff>1112520</xdr:rowOff>
        </xdr:to>
        <xdr:sp macro="" textlink="">
          <xdr:nvSpPr>
            <xdr:cNvPr id="2274529" name="Option Button 225" hidden="1">
              <a:extLst>
                <a:ext uri="{63B3BB69-23CF-44E3-9099-C40C66FF867C}">
                  <a14:compatExt spid="_x0000_s2274529"/>
                </a:ext>
                <a:ext uri="{FF2B5EF4-FFF2-40B4-BE49-F238E27FC236}">
                  <a16:creationId xmlns:a16="http://schemas.microsoft.com/office/drawing/2014/main" id="{00000000-0008-0000-1200-0000E1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60</xdr:row>
          <xdr:rowOff>876300</xdr:rowOff>
        </xdr:from>
        <xdr:to>
          <xdr:col>9</xdr:col>
          <xdr:colOff>0</xdr:colOff>
          <xdr:row>60</xdr:row>
          <xdr:rowOff>1112520</xdr:rowOff>
        </xdr:to>
        <xdr:sp macro="" textlink="">
          <xdr:nvSpPr>
            <xdr:cNvPr id="2274530" name="Option Button 226" hidden="1">
              <a:extLst>
                <a:ext uri="{63B3BB69-23CF-44E3-9099-C40C66FF867C}">
                  <a14:compatExt spid="_x0000_s2274530"/>
                </a:ext>
                <a:ext uri="{FF2B5EF4-FFF2-40B4-BE49-F238E27FC236}">
                  <a16:creationId xmlns:a16="http://schemas.microsoft.com/office/drawing/2014/main" id="{00000000-0008-0000-1200-0000E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60</xdr:row>
          <xdr:rowOff>876300</xdr:rowOff>
        </xdr:from>
        <xdr:to>
          <xdr:col>9</xdr:col>
          <xdr:colOff>541020</xdr:colOff>
          <xdr:row>60</xdr:row>
          <xdr:rowOff>1112520</xdr:rowOff>
        </xdr:to>
        <xdr:sp macro="" textlink="">
          <xdr:nvSpPr>
            <xdr:cNvPr id="2274531" name="Option Button 227" hidden="1">
              <a:extLst>
                <a:ext uri="{63B3BB69-23CF-44E3-9099-C40C66FF867C}">
                  <a14:compatExt spid="_x0000_s2274531"/>
                </a:ext>
                <a:ext uri="{FF2B5EF4-FFF2-40B4-BE49-F238E27FC236}">
                  <a16:creationId xmlns:a16="http://schemas.microsoft.com/office/drawing/2014/main" id="{00000000-0008-0000-1200-0000E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60</xdr:row>
          <xdr:rowOff>754380</xdr:rowOff>
        </xdr:from>
        <xdr:to>
          <xdr:col>10</xdr:col>
          <xdr:colOff>0</xdr:colOff>
          <xdr:row>60</xdr:row>
          <xdr:rowOff>1402080</xdr:rowOff>
        </xdr:to>
        <xdr:sp macro="" textlink="">
          <xdr:nvSpPr>
            <xdr:cNvPr id="2274533" name="GB921" hidden="1">
              <a:extLst>
                <a:ext uri="{63B3BB69-23CF-44E3-9099-C40C66FF867C}">
                  <a14:compatExt spid="_x0000_s2274533"/>
                </a:ext>
                <a:ext uri="{FF2B5EF4-FFF2-40B4-BE49-F238E27FC236}">
                  <a16:creationId xmlns:a16="http://schemas.microsoft.com/office/drawing/2014/main" id="{00000000-0008-0000-1200-0000E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63</xdr:row>
          <xdr:rowOff>22860</xdr:rowOff>
        </xdr:from>
        <xdr:to>
          <xdr:col>10</xdr:col>
          <xdr:colOff>0</xdr:colOff>
          <xdr:row>63</xdr:row>
          <xdr:rowOff>335280</xdr:rowOff>
        </xdr:to>
        <xdr:sp macro="" textlink="">
          <xdr:nvSpPr>
            <xdr:cNvPr id="2274537" name="GB1111" hidden="1">
              <a:extLst>
                <a:ext uri="{63B3BB69-23CF-44E3-9099-C40C66FF867C}">
                  <a14:compatExt spid="_x0000_s2274537"/>
                </a:ext>
                <a:ext uri="{FF2B5EF4-FFF2-40B4-BE49-F238E27FC236}">
                  <a16:creationId xmlns:a16="http://schemas.microsoft.com/office/drawing/2014/main" id="{00000000-0008-0000-1200-0000E9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64</xdr:row>
          <xdr:rowOff>670560</xdr:rowOff>
        </xdr:from>
        <xdr:to>
          <xdr:col>8</xdr:col>
          <xdr:colOff>0</xdr:colOff>
          <xdr:row>64</xdr:row>
          <xdr:rowOff>914400</xdr:rowOff>
        </xdr:to>
        <xdr:sp macro="" textlink="">
          <xdr:nvSpPr>
            <xdr:cNvPr id="2274539" name="Option Button 235" hidden="1">
              <a:extLst>
                <a:ext uri="{63B3BB69-23CF-44E3-9099-C40C66FF867C}">
                  <a14:compatExt spid="_x0000_s2274539"/>
                </a:ext>
                <a:ext uri="{FF2B5EF4-FFF2-40B4-BE49-F238E27FC236}">
                  <a16:creationId xmlns:a16="http://schemas.microsoft.com/office/drawing/2014/main" id="{00000000-0008-0000-1200-0000EB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64</xdr:row>
          <xdr:rowOff>670560</xdr:rowOff>
        </xdr:from>
        <xdr:to>
          <xdr:col>9</xdr:col>
          <xdr:colOff>0</xdr:colOff>
          <xdr:row>64</xdr:row>
          <xdr:rowOff>914400</xdr:rowOff>
        </xdr:to>
        <xdr:sp macro="" textlink="">
          <xdr:nvSpPr>
            <xdr:cNvPr id="2274540" name="Option Button 236" hidden="1">
              <a:extLst>
                <a:ext uri="{63B3BB69-23CF-44E3-9099-C40C66FF867C}">
                  <a14:compatExt spid="_x0000_s2274540"/>
                </a:ext>
                <a:ext uri="{FF2B5EF4-FFF2-40B4-BE49-F238E27FC236}">
                  <a16:creationId xmlns:a16="http://schemas.microsoft.com/office/drawing/2014/main" id="{00000000-0008-0000-1200-0000EC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64</xdr:row>
          <xdr:rowOff>670560</xdr:rowOff>
        </xdr:from>
        <xdr:to>
          <xdr:col>9</xdr:col>
          <xdr:colOff>541020</xdr:colOff>
          <xdr:row>64</xdr:row>
          <xdr:rowOff>914400</xdr:rowOff>
        </xdr:to>
        <xdr:sp macro="" textlink="">
          <xdr:nvSpPr>
            <xdr:cNvPr id="2274541" name="Option Button 237" hidden="1">
              <a:extLst>
                <a:ext uri="{63B3BB69-23CF-44E3-9099-C40C66FF867C}">
                  <a14:compatExt spid="_x0000_s2274541"/>
                </a:ext>
                <a:ext uri="{FF2B5EF4-FFF2-40B4-BE49-F238E27FC236}">
                  <a16:creationId xmlns:a16="http://schemas.microsoft.com/office/drawing/2014/main" id="{00000000-0008-0000-1200-0000ED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64</xdr:row>
          <xdr:rowOff>563880</xdr:rowOff>
        </xdr:from>
        <xdr:to>
          <xdr:col>10</xdr:col>
          <xdr:colOff>0</xdr:colOff>
          <xdr:row>64</xdr:row>
          <xdr:rowOff>1203960</xdr:rowOff>
        </xdr:to>
        <xdr:sp macro="" textlink="">
          <xdr:nvSpPr>
            <xdr:cNvPr id="2274543" name="GB1112" hidden="1">
              <a:extLst>
                <a:ext uri="{63B3BB69-23CF-44E3-9099-C40C66FF867C}">
                  <a14:compatExt spid="_x0000_s2274543"/>
                </a:ext>
                <a:ext uri="{FF2B5EF4-FFF2-40B4-BE49-F238E27FC236}">
                  <a16:creationId xmlns:a16="http://schemas.microsoft.com/office/drawing/2014/main" id="{00000000-0008-0000-1200-0000EF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65</xdr:row>
          <xdr:rowOff>22860</xdr:rowOff>
        </xdr:from>
        <xdr:to>
          <xdr:col>10</xdr:col>
          <xdr:colOff>0</xdr:colOff>
          <xdr:row>65</xdr:row>
          <xdr:rowOff>335280</xdr:rowOff>
        </xdr:to>
        <xdr:sp macro="" textlink="">
          <xdr:nvSpPr>
            <xdr:cNvPr id="2274547" name="GB1121" hidden="1">
              <a:extLst>
                <a:ext uri="{63B3BB69-23CF-44E3-9099-C40C66FF867C}">
                  <a14:compatExt spid="_x0000_s2274547"/>
                </a:ext>
                <a:ext uri="{FF2B5EF4-FFF2-40B4-BE49-F238E27FC236}">
                  <a16:creationId xmlns:a16="http://schemas.microsoft.com/office/drawing/2014/main" id="{00000000-0008-0000-1200-0000F3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66</xdr:row>
          <xdr:rowOff>22860</xdr:rowOff>
        </xdr:from>
        <xdr:to>
          <xdr:col>10</xdr:col>
          <xdr:colOff>0</xdr:colOff>
          <xdr:row>66</xdr:row>
          <xdr:rowOff>335280</xdr:rowOff>
        </xdr:to>
        <xdr:sp macro="" textlink="">
          <xdr:nvSpPr>
            <xdr:cNvPr id="2274551" name="GB1122" hidden="1">
              <a:extLst>
                <a:ext uri="{63B3BB69-23CF-44E3-9099-C40C66FF867C}">
                  <a14:compatExt spid="_x0000_s2274551"/>
                </a:ext>
                <a:ext uri="{FF2B5EF4-FFF2-40B4-BE49-F238E27FC236}">
                  <a16:creationId xmlns:a16="http://schemas.microsoft.com/office/drawing/2014/main" id="{00000000-0008-0000-1200-0000F7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67</xdr:row>
          <xdr:rowOff>22860</xdr:rowOff>
        </xdr:from>
        <xdr:to>
          <xdr:col>10</xdr:col>
          <xdr:colOff>0</xdr:colOff>
          <xdr:row>67</xdr:row>
          <xdr:rowOff>335280</xdr:rowOff>
        </xdr:to>
        <xdr:sp macro="" textlink="">
          <xdr:nvSpPr>
            <xdr:cNvPr id="2274555" name="GB1123" hidden="1">
              <a:extLst>
                <a:ext uri="{63B3BB69-23CF-44E3-9099-C40C66FF867C}">
                  <a14:compatExt spid="_x0000_s2274555"/>
                </a:ext>
                <a:ext uri="{FF2B5EF4-FFF2-40B4-BE49-F238E27FC236}">
                  <a16:creationId xmlns:a16="http://schemas.microsoft.com/office/drawing/2014/main" id="{00000000-0008-0000-1200-0000FB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68</xdr:row>
          <xdr:rowOff>22860</xdr:rowOff>
        </xdr:from>
        <xdr:to>
          <xdr:col>10</xdr:col>
          <xdr:colOff>0</xdr:colOff>
          <xdr:row>68</xdr:row>
          <xdr:rowOff>335280</xdr:rowOff>
        </xdr:to>
        <xdr:sp macro="" textlink="">
          <xdr:nvSpPr>
            <xdr:cNvPr id="2274559" name="GB1131" hidden="1">
              <a:extLst>
                <a:ext uri="{63B3BB69-23CF-44E3-9099-C40C66FF867C}">
                  <a14:compatExt spid="_x0000_s2274559"/>
                </a:ext>
                <a:ext uri="{FF2B5EF4-FFF2-40B4-BE49-F238E27FC236}">
                  <a16:creationId xmlns:a16="http://schemas.microsoft.com/office/drawing/2014/main" id="{00000000-0008-0000-1200-0000FF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69</xdr:row>
          <xdr:rowOff>22860</xdr:rowOff>
        </xdr:from>
        <xdr:to>
          <xdr:col>10</xdr:col>
          <xdr:colOff>0</xdr:colOff>
          <xdr:row>69</xdr:row>
          <xdr:rowOff>335280</xdr:rowOff>
        </xdr:to>
        <xdr:sp macro="" textlink="">
          <xdr:nvSpPr>
            <xdr:cNvPr id="2274563" name="GB1132" hidden="1">
              <a:extLst>
                <a:ext uri="{63B3BB69-23CF-44E3-9099-C40C66FF867C}">
                  <a14:compatExt spid="_x0000_s2274563"/>
                </a:ext>
                <a:ext uri="{FF2B5EF4-FFF2-40B4-BE49-F238E27FC236}">
                  <a16:creationId xmlns:a16="http://schemas.microsoft.com/office/drawing/2014/main" id="{00000000-0008-0000-1200-000003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70</xdr:row>
          <xdr:rowOff>579120</xdr:rowOff>
        </xdr:from>
        <xdr:to>
          <xdr:col>8</xdr:col>
          <xdr:colOff>0</xdr:colOff>
          <xdr:row>70</xdr:row>
          <xdr:rowOff>822960</xdr:rowOff>
        </xdr:to>
        <xdr:sp macro="" textlink="">
          <xdr:nvSpPr>
            <xdr:cNvPr id="2274569" name="Option Button 265" hidden="1">
              <a:extLst>
                <a:ext uri="{63B3BB69-23CF-44E3-9099-C40C66FF867C}">
                  <a14:compatExt spid="_x0000_s2274569"/>
                </a:ext>
                <a:ext uri="{FF2B5EF4-FFF2-40B4-BE49-F238E27FC236}">
                  <a16:creationId xmlns:a16="http://schemas.microsoft.com/office/drawing/2014/main" id="{00000000-0008-0000-1200-000009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70</xdr:row>
          <xdr:rowOff>579120</xdr:rowOff>
        </xdr:from>
        <xdr:to>
          <xdr:col>9</xdr:col>
          <xdr:colOff>0</xdr:colOff>
          <xdr:row>70</xdr:row>
          <xdr:rowOff>822960</xdr:rowOff>
        </xdr:to>
        <xdr:sp macro="" textlink="">
          <xdr:nvSpPr>
            <xdr:cNvPr id="2274570" name="Option Button 266" hidden="1">
              <a:extLst>
                <a:ext uri="{63B3BB69-23CF-44E3-9099-C40C66FF867C}">
                  <a14:compatExt spid="_x0000_s2274570"/>
                </a:ext>
                <a:ext uri="{FF2B5EF4-FFF2-40B4-BE49-F238E27FC236}">
                  <a16:creationId xmlns:a16="http://schemas.microsoft.com/office/drawing/2014/main" id="{00000000-0008-0000-1200-00000A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70</xdr:row>
          <xdr:rowOff>579120</xdr:rowOff>
        </xdr:from>
        <xdr:to>
          <xdr:col>9</xdr:col>
          <xdr:colOff>541020</xdr:colOff>
          <xdr:row>70</xdr:row>
          <xdr:rowOff>822960</xdr:rowOff>
        </xdr:to>
        <xdr:sp macro="" textlink="">
          <xdr:nvSpPr>
            <xdr:cNvPr id="2274571" name="Option Button 267" hidden="1">
              <a:extLst>
                <a:ext uri="{63B3BB69-23CF-44E3-9099-C40C66FF867C}">
                  <a14:compatExt spid="_x0000_s2274571"/>
                </a:ext>
                <a:ext uri="{FF2B5EF4-FFF2-40B4-BE49-F238E27FC236}">
                  <a16:creationId xmlns:a16="http://schemas.microsoft.com/office/drawing/2014/main" id="{00000000-0008-0000-1200-00000B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70</xdr:row>
          <xdr:rowOff>502920</xdr:rowOff>
        </xdr:from>
        <xdr:to>
          <xdr:col>10</xdr:col>
          <xdr:colOff>0</xdr:colOff>
          <xdr:row>70</xdr:row>
          <xdr:rowOff>1150620</xdr:rowOff>
        </xdr:to>
        <xdr:sp macro="" textlink="">
          <xdr:nvSpPr>
            <xdr:cNvPr id="2274573" name="GB1141" hidden="1">
              <a:extLst>
                <a:ext uri="{63B3BB69-23CF-44E3-9099-C40C66FF867C}">
                  <a14:compatExt spid="_x0000_s2274573"/>
                </a:ext>
                <a:ext uri="{FF2B5EF4-FFF2-40B4-BE49-F238E27FC236}">
                  <a16:creationId xmlns:a16="http://schemas.microsoft.com/office/drawing/2014/main" id="{00000000-0008-0000-1200-00000D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71</xdr:row>
          <xdr:rowOff>22860</xdr:rowOff>
        </xdr:from>
        <xdr:to>
          <xdr:col>10</xdr:col>
          <xdr:colOff>0</xdr:colOff>
          <xdr:row>71</xdr:row>
          <xdr:rowOff>335280</xdr:rowOff>
        </xdr:to>
        <xdr:sp macro="" textlink="">
          <xdr:nvSpPr>
            <xdr:cNvPr id="2274577" name="GB1142" hidden="1">
              <a:extLst>
                <a:ext uri="{63B3BB69-23CF-44E3-9099-C40C66FF867C}">
                  <a14:compatExt spid="_x0000_s2274577"/>
                </a:ext>
                <a:ext uri="{FF2B5EF4-FFF2-40B4-BE49-F238E27FC236}">
                  <a16:creationId xmlns:a16="http://schemas.microsoft.com/office/drawing/2014/main" id="{00000000-0008-0000-1200-000011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72</xdr:row>
          <xdr:rowOff>22860</xdr:rowOff>
        </xdr:from>
        <xdr:to>
          <xdr:col>10</xdr:col>
          <xdr:colOff>0</xdr:colOff>
          <xdr:row>72</xdr:row>
          <xdr:rowOff>335280</xdr:rowOff>
        </xdr:to>
        <xdr:sp macro="" textlink="">
          <xdr:nvSpPr>
            <xdr:cNvPr id="2274581" name="GB1143" hidden="1">
              <a:extLst>
                <a:ext uri="{63B3BB69-23CF-44E3-9099-C40C66FF867C}">
                  <a14:compatExt spid="_x0000_s2274581"/>
                </a:ext>
                <a:ext uri="{FF2B5EF4-FFF2-40B4-BE49-F238E27FC236}">
                  <a16:creationId xmlns:a16="http://schemas.microsoft.com/office/drawing/2014/main" id="{00000000-0008-0000-1200-000015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73</xdr:row>
          <xdr:rowOff>22860</xdr:rowOff>
        </xdr:from>
        <xdr:to>
          <xdr:col>10</xdr:col>
          <xdr:colOff>0</xdr:colOff>
          <xdr:row>73</xdr:row>
          <xdr:rowOff>335280</xdr:rowOff>
        </xdr:to>
        <xdr:sp macro="" textlink="">
          <xdr:nvSpPr>
            <xdr:cNvPr id="2274585" name="GB1144" hidden="1">
              <a:extLst>
                <a:ext uri="{63B3BB69-23CF-44E3-9099-C40C66FF867C}">
                  <a14:compatExt spid="_x0000_s2274585"/>
                </a:ext>
                <a:ext uri="{FF2B5EF4-FFF2-40B4-BE49-F238E27FC236}">
                  <a16:creationId xmlns:a16="http://schemas.microsoft.com/office/drawing/2014/main" id="{00000000-0008-0000-1200-000019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74</xdr:row>
          <xdr:rowOff>22860</xdr:rowOff>
        </xdr:from>
        <xdr:to>
          <xdr:col>10</xdr:col>
          <xdr:colOff>0</xdr:colOff>
          <xdr:row>74</xdr:row>
          <xdr:rowOff>335280</xdr:rowOff>
        </xdr:to>
        <xdr:sp macro="" textlink="">
          <xdr:nvSpPr>
            <xdr:cNvPr id="2274589" name="GB1151" hidden="1">
              <a:extLst>
                <a:ext uri="{63B3BB69-23CF-44E3-9099-C40C66FF867C}">
                  <a14:compatExt spid="_x0000_s2274589"/>
                </a:ext>
                <a:ext uri="{FF2B5EF4-FFF2-40B4-BE49-F238E27FC236}">
                  <a16:creationId xmlns:a16="http://schemas.microsoft.com/office/drawing/2014/main" id="{00000000-0008-0000-1200-00001D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76</xdr:row>
          <xdr:rowOff>22860</xdr:rowOff>
        </xdr:from>
        <xdr:to>
          <xdr:col>10</xdr:col>
          <xdr:colOff>0</xdr:colOff>
          <xdr:row>76</xdr:row>
          <xdr:rowOff>335280</xdr:rowOff>
        </xdr:to>
        <xdr:sp macro="" textlink="">
          <xdr:nvSpPr>
            <xdr:cNvPr id="2274593" name="GB1161" hidden="1">
              <a:extLst>
                <a:ext uri="{63B3BB69-23CF-44E3-9099-C40C66FF867C}">
                  <a14:compatExt spid="_x0000_s2274593"/>
                </a:ext>
                <a:ext uri="{FF2B5EF4-FFF2-40B4-BE49-F238E27FC236}">
                  <a16:creationId xmlns:a16="http://schemas.microsoft.com/office/drawing/2014/main" id="{00000000-0008-0000-1200-000021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77</xdr:row>
          <xdr:rowOff>22860</xdr:rowOff>
        </xdr:from>
        <xdr:to>
          <xdr:col>10</xdr:col>
          <xdr:colOff>0</xdr:colOff>
          <xdr:row>77</xdr:row>
          <xdr:rowOff>335280</xdr:rowOff>
        </xdr:to>
        <xdr:sp macro="" textlink="">
          <xdr:nvSpPr>
            <xdr:cNvPr id="2274597" name="GB1162" hidden="1">
              <a:extLst>
                <a:ext uri="{63B3BB69-23CF-44E3-9099-C40C66FF867C}">
                  <a14:compatExt spid="_x0000_s2274597"/>
                </a:ext>
                <a:ext uri="{FF2B5EF4-FFF2-40B4-BE49-F238E27FC236}">
                  <a16:creationId xmlns:a16="http://schemas.microsoft.com/office/drawing/2014/main" id="{00000000-0008-0000-1200-000025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78</xdr:row>
          <xdr:rowOff>22860</xdr:rowOff>
        </xdr:from>
        <xdr:to>
          <xdr:col>10</xdr:col>
          <xdr:colOff>0</xdr:colOff>
          <xdr:row>78</xdr:row>
          <xdr:rowOff>335280</xdr:rowOff>
        </xdr:to>
        <xdr:sp macro="" textlink="">
          <xdr:nvSpPr>
            <xdr:cNvPr id="2274601" name="GB1163" hidden="1">
              <a:extLst>
                <a:ext uri="{63B3BB69-23CF-44E3-9099-C40C66FF867C}">
                  <a14:compatExt spid="_x0000_s2274601"/>
                </a:ext>
                <a:ext uri="{FF2B5EF4-FFF2-40B4-BE49-F238E27FC236}">
                  <a16:creationId xmlns:a16="http://schemas.microsoft.com/office/drawing/2014/main" id="{00000000-0008-0000-1200-000029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79</xdr:row>
          <xdr:rowOff>22860</xdr:rowOff>
        </xdr:from>
        <xdr:to>
          <xdr:col>10</xdr:col>
          <xdr:colOff>0</xdr:colOff>
          <xdr:row>79</xdr:row>
          <xdr:rowOff>335280</xdr:rowOff>
        </xdr:to>
        <xdr:sp macro="" textlink="">
          <xdr:nvSpPr>
            <xdr:cNvPr id="2274605" name="GB1164" hidden="1">
              <a:extLst>
                <a:ext uri="{63B3BB69-23CF-44E3-9099-C40C66FF867C}">
                  <a14:compatExt spid="_x0000_s2274605"/>
                </a:ext>
                <a:ext uri="{FF2B5EF4-FFF2-40B4-BE49-F238E27FC236}">
                  <a16:creationId xmlns:a16="http://schemas.microsoft.com/office/drawing/2014/main" id="{00000000-0008-0000-1200-00002D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80</xdr:row>
          <xdr:rowOff>0</xdr:rowOff>
        </xdr:from>
        <xdr:to>
          <xdr:col>10</xdr:col>
          <xdr:colOff>0</xdr:colOff>
          <xdr:row>80</xdr:row>
          <xdr:rowOff>297180</xdr:rowOff>
        </xdr:to>
        <xdr:sp macro="" textlink="">
          <xdr:nvSpPr>
            <xdr:cNvPr id="2274609" name="GB1171" hidden="1">
              <a:extLst>
                <a:ext uri="{63B3BB69-23CF-44E3-9099-C40C66FF867C}">
                  <a14:compatExt spid="_x0000_s2274609"/>
                </a:ext>
                <a:ext uri="{FF2B5EF4-FFF2-40B4-BE49-F238E27FC236}">
                  <a16:creationId xmlns:a16="http://schemas.microsoft.com/office/drawing/2014/main" id="{00000000-0008-0000-1200-000031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82</xdr:row>
          <xdr:rowOff>762000</xdr:rowOff>
        </xdr:from>
        <xdr:to>
          <xdr:col>8</xdr:col>
          <xdr:colOff>0</xdr:colOff>
          <xdr:row>82</xdr:row>
          <xdr:rowOff>1013460</xdr:rowOff>
        </xdr:to>
        <xdr:sp macro="" textlink="">
          <xdr:nvSpPr>
            <xdr:cNvPr id="2274610" name="Option Button 306" hidden="1">
              <a:extLst>
                <a:ext uri="{63B3BB69-23CF-44E3-9099-C40C66FF867C}">
                  <a14:compatExt spid="_x0000_s2274610"/>
                </a:ext>
                <a:ext uri="{FF2B5EF4-FFF2-40B4-BE49-F238E27FC236}">
                  <a16:creationId xmlns:a16="http://schemas.microsoft.com/office/drawing/2014/main" id="{00000000-0008-0000-1200-000032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82</xdr:row>
          <xdr:rowOff>762000</xdr:rowOff>
        </xdr:from>
        <xdr:to>
          <xdr:col>9</xdr:col>
          <xdr:colOff>0</xdr:colOff>
          <xdr:row>82</xdr:row>
          <xdr:rowOff>1013460</xdr:rowOff>
        </xdr:to>
        <xdr:sp macro="" textlink="">
          <xdr:nvSpPr>
            <xdr:cNvPr id="2274611" name="Option Button 307" hidden="1">
              <a:extLst>
                <a:ext uri="{63B3BB69-23CF-44E3-9099-C40C66FF867C}">
                  <a14:compatExt spid="_x0000_s2274611"/>
                </a:ext>
                <a:ext uri="{FF2B5EF4-FFF2-40B4-BE49-F238E27FC236}">
                  <a16:creationId xmlns:a16="http://schemas.microsoft.com/office/drawing/2014/main" id="{00000000-0008-0000-1200-000033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82</xdr:row>
          <xdr:rowOff>762000</xdr:rowOff>
        </xdr:from>
        <xdr:to>
          <xdr:col>9</xdr:col>
          <xdr:colOff>541020</xdr:colOff>
          <xdr:row>82</xdr:row>
          <xdr:rowOff>1013460</xdr:rowOff>
        </xdr:to>
        <xdr:sp macro="" textlink="">
          <xdr:nvSpPr>
            <xdr:cNvPr id="2274612" name="Option Button 308" hidden="1">
              <a:extLst>
                <a:ext uri="{63B3BB69-23CF-44E3-9099-C40C66FF867C}">
                  <a14:compatExt spid="_x0000_s2274612"/>
                </a:ext>
                <a:ext uri="{FF2B5EF4-FFF2-40B4-BE49-F238E27FC236}">
                  <a16:creationId xmlns:a16="http://schemas.microsoft.com/office/drawing/2014/main" id="{00000000-0008-0000-1200-000034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82</xdr:row>
          <xdr:rowOff>655320</xdr:rowOff>
        </xdr:from>
        <xdr:to>
          <xdr:col>10</xdr:col>
          <xdr:colOff>0</xdr:colOff>
          <xdr:row>82</xdr:row>
          <xdr:rowOff>1303020</xdr:rowOff>
        </xdr:to>
        <xdr:sp macro="" textlink="">
          <xdr:nvSpPr>
            <xdr:cNvPr id="2274614" name="GB1211" hidden="1">
              <a:extLst>
                <a:ext uri="{63B3BB69-23CF-44E3-9099-C40C66FF867C}">
                  <a14:compatExt spid="_x0000_s2274614"/>
                </a:ext>
                <a:ext uri="{FF2B5EF4-FFF2-40B4-BE49-F238E27FC236}">
                  <a16:creationId xmlns:a16="http://schemas.microsoft.com/office/drawing/2014/main" id="{00000000-0008-0000-1200-000036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84</xdr:row>
          <xdr:rowOff>22860</xdr:rowOff>
        </xdr:from>
        <xdr:to>
          <xdr:col>10</xdr:col>
          <xdr:colOff>0</xdr:colOff>
          <xdr:row>84</xdr:row>
          <xdr:rowOff>335280</xdr:rowOff>
        </xdr:to>
        <xdr:sp macro="" textlink="">
          <xdr:nvSpPr>
            <xdr:cNvPr id="2274618" name="GB1221" hidden="1">
              <a:extLst>
                <a:ext uri="{63B3BB69-23CF-44E3-9099-C40C66FF867C}">
                  <a14:compatExt spid="_x0000_s2274618"/>
                </a:ext>
                <a:ext uri="{FF2B5EF4-FFF2-40B4-BE49-F238E27FC236}">
                  <a16:creationId xmlns:a16="http://schemas.microsoft.com/office/drawing/2014/main" id="{00000000-0008-0000-1200-00003A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84</xdr:row>
          <xdr:rowOff>342900</xdr:rowOff>
        </xdr:from>
        <xdr:to>
          <xdr:col>10</xdr:col>
          <xdr:colOff>0</xdr:colOff>
          <xdr:row>85</xdr:row>
          <xdr:rowOff>297180</xdr:rowOff>
        </xdr:to>
        <xdr:sp macro="" textlink="">
          <xdr:nvSpPr>
            <xdr:cNvPr id="2274622" name="GB1222" hidden="1">
              <a:extLst>
                <a:ext uri="{63B3BB69-23CF-44E3-9099-C40C66FF867C}">
                  <a14:compatExt spid="_x0000_s2274622"/>
                </a:ext>
                <a:ext uri="{FF2B5EF4-FFF2-40B4-BE49-F238E27FC236}">
                  <a16:creationId xmlns:a16="http://schemas.microsoft.com/office/drawing/2014/main" id="{00000000-0008-0000-1200-00003E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86</xdr:row>
          <xdr:rowOff>22860</xdr:rowOff>
        </xdr:from>
        <xdr:to>
          <xdr:col>10</xdr:col>
          <xdr:colOff>0</xdr:colOff>
          <xdr:row>86</xdr:row>
          <xdr:rowOff>335280</xdr:rowOff>
        </xdr:to>
        <xdr:sp macro="" textlink="">
          <xdr:nvSpPr>
            <xdr:cNvPr id="2274626" name="GB1223" hidden="1">
              <a:extLst>
                <a:ext uri="{63B3BB69-23CF-44E3-9099-C40C66FF867C}">
                  <a14:compatExt spid="_x0000_s2274626"/>
                </a:ext>
                <a:ext uri="{FF2B5EF4-FFF2-40B4-BE49-F238E27FC236}">
                  <a16:creationId xmlns:a16="http://schemas.microsoft.com/office/drawing/2014/main" id="{00000000-0008-0000-1200-000042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87</xdr:row>
          <xdr:rowOff>22860</xdr:rowOff>
        </xdr:from>
        <xdr:to>
          <xdr:col>10</xdr:col>
          <xdr:colOff>0</xdr:colOff>
          <xdr:row>87</xdr:row>
          <xdr:rowOff>335280</xdr:rowOff>
        </xdr:to>
        <xdr:sp macro="" textlink="">
          <xdr:nvSpPr>
            <xdr:cNvPr id="2274630" name="GB1224" hidden="1">
              <a:extLst>
                <a:ext uri="{63B3BB69-23CF-44E3-9099-C40C66FF867C}">
                  <a14:compatExt spid="_x0000_s2274630"/>
                </a:ext>
                <a:ext uri="{FF2B5EF4-FFF2-40B4-BE49-F238E27FC236}">
                  <a16:creationId xmlns:a16="http://schemas.microsoft.com/office/drawing/2014/main" id="{00000000-0008-0000-1200-000046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87</xdr:row>
          <xdr:rowOff>335280</xdr:rowOff>
        </xdr:from>
        <xdr:to>
          <xdr:col>10</xdr:col>
          <xdr:colOff>0</xdr:colOff>
          <xdr:row>88</xdr:row>
          <xdr:rowOff>297180</xdr:rowOff>
        </xdr:to>
        <xdr:sp macro="" textlink="">
          <xdr:nvSpPr>
            <xdr:cNvPr id="2274634" name="GB1225" hidden="1">
              <a:extLst>
                <a:ext uri="{63B3BB69-23CF-44E3-9099-C40C66FF867C}">
                  <a14:compatExt spid="_x0000_s2274634"/>
                </a:ext>
                <a:ext uri="{FF2B5EF4-FFF2-40B4-BE49-F238E27FC236}">
                  <a16:creationId xmlns:a16="http://schemas.microsoft.com/office/drawing/2014/main" id="{00000000-0008-0000-1200-00004A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89</xdr:row>
          <xdr:rowOff>22860</xdr:rowOff>
        </xdr:from>
        <xdr:to>
          <xdr:col>10</xdr:col>
          <xdr:colOff>0</xdr:colOff>
          <xdr:row>89</xdr:row>
          <xdr:rowOff>335280</xdr:rowOff>
        </xdr:to>
        <xdr:sp macro="" textlink="">
          <xdr:nvSpPr>
            <xdr:cNvPr id="2274638" name="GB1231" hidden="1">
              <a:extLst>
                <a:ext uri="{63B3BB69-23CF-44E3-9099-C40C66FF867C}">
                  <a14:compatExt spid="_x0000_s2274638"/>
                </a:ext>
                <a:ext uri="{FF2B5EF4-FFF2-40B4-BE49-F238E27FC236}">
                  <a16:creationId xmlns:a16="http://schemas.microsoft.com/office/drawing/2014/main" id="{00000000-0008-0000-1200-00004E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90</xdr:row>
          <xdr:rowOff>22860</xdr:rowOff>
        </xdr:from>
        <xdr:to>
          <xdr:col>10</xdr:col>
          <xdr:colOff>0</xdr:colOff>
          <xdr:row>90</xdr:row>
          <xdr:rowOff>335280</xdr:rowOff>
        </xdr:to>
        <xdr:sp macro="" textlink="">
          <xdr:nvSpPr>
            <xdr:cNvPr id="2274642" name="GB1232" hidden="1">
              <a:extLst>
                <a:ext uri="{63B3BB69-23CF-44E3-9099-C40C66FF867C}">
                  <a14:compatExt spid="_x0000_s2274642"/>
                </a:ext>
                <a:ext uri="{FF2B5EF4-FFF2-40B4-BE49-F238E27FC236}">
                  <a16:creationId xmlns:a16="http://schemas.microsoft.com/office/drawing/2014/main" id="{00000000-0008-0000-1200-000052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91</xdr:row>
          <xdr:rowOff>22860</xdr:rowOff>
        </xdr:from>
        <xdr:to>
          <xdr:col>10</xdr:col>
          <xdr:colOff>0</xdr:colOff>
          <xdr:row>91</xdr:row>
          <xdr:rowOff>335280</xdr:rowOff>
        </xdr:to>
        <xdr:sp macro="" textlink="">
          <xdr:nvSpPr>
            <xdr:cNvPr id="2274646" name="GB1233" hidden="1">
              <a:extLst>
                <a:ext uri="{63B3BB69-23CF-44E3-9099-C40C66FF867C}">
                  <a14:compatExt spid="_x0000_s2274646"/>
                </a:ext>
                <a:ext uri="{FF2B5EF4-FFF2-40B4-BE49-F238E27FC236}">
                  <a16:creationId xmlns:a16="http://schemas.microsoft.com/office/drawing/2014/main" id="{00000000-0008-0000-1200-000056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92</xdr:row>
          <xdr:rowOff>7620</xdr:rowOff>
        </xdr:from>
        <xdr:to>
          <xdr:col>10</xdr:col>
          <xdr:colOff>0</xdr:colOff>
          <xdr:row>92</xdr:row>
          <xdr:rowOff>312420</xdr:rowOff>
        </xdr:to>
        <xdr:sp macro="" textlink="">
          <xdr:nvSpPr>
            <xdr:cNvPr id="2274650" name="GB1234" hidden="1">
              <a:extLst>
                <a:ext uri="{63B3BB69-23CF-44E3-9099-C40C66FF867C}">
                  <a14:compatExt spid="_x0000_s2274650"/>
                </a:ext>
                <a:ext uri="{FF2B5EF4-FFF2-40B4-BE49-F238E27FC236}">
                  <a16:creationId xmlns:a16="http://schemas.microsoft.com/office/drawing/2014/main" id="{00000000-0008-0000-1200-00005A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94</xdr:row>
          <xdr:rowOff>38100</xdr:rowOff>
        </xdr:from>
        <xdr:to>
          <xdr:col>10</xdr:col>
          <xdr:colOff>0</xdr:colOff>
          <xdr:row>95</xdr:row>
          <xdr:rowOff>0</xdr:rowOff>
        </xdr:to>
        <xdr:sp macro="" textlink="">
          <xdr:nvSpPr>
            <xdr:cNvPr id="2274654" name="GB1241" hidden="1">
              <a:extLst>
                <a:ext uri="{63B3BB69-23CF-44E3-9099-C40C66FF867C}">
                  <a14:compatExt spid="_x0000_s2274654"/>
                </a:ext>
                <a:ext uri="{FF2B5EF4-FFF2-40B4-BE49-F238E27FC236}">
                  <a16:creationId xmlns:a16="http://schemas.microsoft.com/office/drawing/2014/main" id="{00000000-0008-0000-1200-00005E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95</xdr:row>
          <xdr:rowOff>22860</xdr:rowOff>
        </xdr:from>
        <xdr:to>
          <xdr:col>10</xdr:col>
          <xdr:colOff>0</xdr:colOff>
          <xdr:row>95</xdr:row>
          <xdr:rowOff>335280</xdr:rowOff>
        </xdr:to>
        <xdr:sp macro="" textlink="">
          <xdr:nvSpPr>
            <xdr:cNvPr id="2274658" name="GB1242" hidden="1">
              <a:extLst>
                <a:ext uri="{63B3BB69-23CF-44E3-9099-C40C66FF867C}">
                  <a14:compatExt spid="_x0000_s2274658"/>
                </a:ext>
                <a:ext uri="{FF2B5EF4-FFF2-40B4-BE49-F238E27FC236}">
                  <a16:creationId xmlns:a16="http://schemas.microsoft.com/office/drawing/2014/main" id="{00000000-0008-0000-1200-000062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96</xdr:row>
          <xdr:rowOff>22860</xdr:rowOff>
        </xdr:from>
        <xdr:to>
          <xdr:col>10</xdr:col>
          <xdr:colOff>0</xdr:colOff>
          <xdr:row>96</xdr:row>
          <xdr:rowOff>335280</xdr:rowOff>
        </xdr:to>
        <xdr:sp macro="" textlink="">
          <xdr:nvSpPr>
            <xdr:cNvPr id="2274662" name="GB1243" hidden="1">
              <a:extLst>
                <a:ext uri="{63B3BB69-23CF-44E3-9099-C40C66FF867C}">
                  <a14:compatExt spid="_x0000_s2274662"/>
                </a:ext>
                <a:ext uri="{FF2B5EF4-FFF2-40B4-BE49-F238E27FC236}">
                  <a16:creationId xmlns:a16="http://schemas.microsoft.com/office/drawing/2014/main" id="{00000000-0008-0000-1200-000066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97</xdr:row>
          <xdr:rowOff>22860</xdr:rowOff>
        </xdr:from>
        <xdr:to>
          <xdr:col>10</xdr:col>
          <xdr:colOff>0</xdr:colOff>
          <xdr:row>97</xdr:row>
          <xdr:rowOff>335280</xdr:rowOff>
        </xdr:to>
        <xdr:sp macro="" textlink="">
          <xdr:nvSpPr>
            <xdr:cNvPr id="2274666" name="GB1311" hidden="1">
              <a:extLst>
                <a:ext uri="{63B3BB69-23CF-44E3-9099-C40C66FF867C}">
                  <a14:compatExt spid="_x0000_s2274666"/>
                </a:ext>
                <a:ext uri="{FF2B5EF4-FFF2-40B4-BE49-F238E27FC236}">
                  <a16:creationId xmlns:a16="http://schemas.microsoft.com/office/drawing/2014/main" id="{00000000-0008-0000-1200-00006A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98</xdr:row>
          <xdr:rowOff>22860</xdr:rowOff>
        </xdr:from>
        <xdr:to>
          <xdr:col>10</xdr:col>
          <xdr:colOff>0</xdr:colOff>
          <xdr:row>98</xdr:row>
          <xdr:rowOff>335280</xdr:rowOff>
        </xdr:to>
        <xdr:sp macro="" textlink="">
          <xdr:nvSpPr>
            <xdr:cNvPr id="2274670" name="GB1321" hidden="1">
              <a:extLst>
                <a:ext uri="{63B3BB69-23CF-44E3-9099-C40C66FF867C}">
                  <a14:compatExt spid="_x0000_s2274670"/>
                </a:ext>
                <a:ext uri="{FF2B5EF4-FFF2-40B4-BE49-F238E27FC236}">
                  <a16:creationId xmlns:a16="http://schemas.microsoft.com/office/drawing/2014/main" id="{00000000-0008-0000-1200-00006E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99</xdr:row>
          <xdr:rowOff>731520</xdr:rowOff>
        </xdr:from>
        <xdr:to>
          <xdr:col>8</xdr:col>
          <xdr:colOff>0</xdr:colOff>
          <xdr:row>99</xdr:row>
          <xdr:rowOff>960120</xdr:rowOff>
        </xdr:to>
        <xdr:sp macro="" textlink="">
          <xdr:nvSpPr>
            <xdr:cNvPr id="2274671" name="Option Button 367" hidden="1">
              <a:extLst>
                <a:ext uri="{63B3BB69-23CF-44E3-9099-C40C66FF867C}">
                  <a14:compatExt spid="_x0000_s2274671"/>
                </a:ext>
                <a:ext uri="{FF2B5EF4-FFF2-40B4-BE49-F238E27FC236}">
                  <a16:creationId xmlns:a16="http://schemas.microsoft.com/office/drawing/2014/main" id="{00000000-0008-0000-1200-00006F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99</xdr:row>
          <xdr:rowOff>731520</xdr:rowOff>
        </xdr:from>
        <xdr:to>
          <xdr:col>9</xdr:col>
          <xdr:colOff>0</xdr:colOff>
          <xdr:row>99</xdr:row>
          <xdr:rowOff>960120</xdr:rowOff>
        </xdr:to>
        <xdr:sp macro="" textlink="">
          <xdr:nvSpPr>
            <xdr:cNvPr id="2274672" name="Option Button 368" hidden="1">
              <a:extLst>
                <a:ext uri="{63B3BB69-23CF-44E3-9099-C40C66FF867C}">
                  <a14:compatExt spid="_x0000_s2274672"/>
                </a:ext>
                <a:ext uri="{FF2B5EF4-FFF2-40B4-BE49-F238E27FC236}">
                  <a16:creationId xmlns:a16="http://schemas.microsoft.com/office/drawing/2014/main" id="{00000000-0008-0000-1200-000070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99</xdr:row>
          <xdr:rowOff>731520</xdr:rowOff>
        </xdr:from>
        <xdr:to>
          <xdr:col>9</xdr:col>
          <xdr:colOff>541020</xdr:colOff>
          <xdr:row>99</xdr:row>
          <xdr:rowOff>960120</xdr:rowOff>
        </xdr:to>
        <xdr:sp macro="" textlink="">
          <xdr:nvSpPr>
            <xdr:cNvPr id="2274673" name="Option Button 369" hidden="1">
              <a:extLst>
                <a:ext uri="{63B3BB69-23CF-44E3-9099-C40C66FF867C}">
                  <a14:compatExt spid="_x0000_s2274673"/>
                </a:ext>
                <a:ext uri="{FF2B5EF4-FFF2-40B4-BE49-F238E27FC236}">
                  <a16:creationId xmlns:a16="http://schemas.microsoft.com/office/drawing/2014/main" id="{00000000-0008-0000-1200-000071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99</xdr:row>
          <xdr:rowOff>655320</xdr:rowOff>
        </xdr:from>
        <xdr:to>
          <xdr:col>10</xdr:col>
          <xdr:colOff>0</xdr:colOff>
          <xdr:row>99</xdr:row>
          <xdr:rowOff>1303020</xdr:rowOff>
        </xdr:to>
        <xdr:sp macro="" textlink="">
          <xdr:nvSpPr>
            <xdr:cNvPr id="2274675" name="GB1322" hidden="1">
              <a:extLst>
                <a:ext uri="{63B3BB69-23CF-44E3-9099-C40C66FF867C}">
                  <a14:compatExt spid="_x0000_s2274675"/>
                </a:ext>
                <a:ext uri="{FF2B5EF4-FFF2-40B4-BE49-F238E27FC236}">
                  <a16:creationId xmlns:a16="http://schemas.microsoft.com/office/drawing/2014/main" id="{00000000-0008-0000-1200-000073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GB1322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101</xdr:row>
          <xdr:rowOff>22860</xdr:rowOff>
        </xdr:from>
        <xdr:to>
          <xdr:col>10</xdr:col>
          <xdr:colOff>0</xdr:colOff>
          <xdr:row>101</xdr:row>
          <xdr:rowOff>335280</xdr:rowOff>
        </xdr:to>
        <xdr:sp macro="" textlink="">
          <xdr:nvSpPr>
            <xdr:cNvPr id="2274679" name="GB1511" hidden="1">
              <a:extLst>
                <a:ext uri="{63B3BB69-23CF-44E3-9099-C40C66FF867C}">
                  <a14:compatExt spid="_x0000_s2274679"/>
                </a:ext>
                <a:ext uri="{FF2B5EF4-FFF2-40B4-BE49-F238E27FC236}">
                  <a16:creationId xmlns:a16="http://schemas.microsoft.com/office/drawing/2014/main" id="{00000000-0008-0000-1200-000077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GB1511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102</xdr:row>
          <xdr:rowOff>22860</xdr:rowOff>
        </xdr:from>
        <xdr:to>
          <xdr:col>10</xdr:col>
          <xdr:colOff>0</xdr:colOff>
          <xdr:row>102</xdr:row>
          <xdr:rowOff>335280</xdr:rowOff>
        </xdr:to>
        <xdr:sp macro="" textlink="">
          <xdr:nvSpPr>
            <xdr:cNvPr id="2274683" name="GB1512" hidden="1">
              <a:extLst>
                <a:ext uri="{63B3BB69-23CF-44E3-9099-C40C66FF867C}">
                  <a14:compatExt spid="_x0000_s2274683"/>
                </a:ext>
                <a:ext uri="{FF2B5EF4-FFF2-40B4-BE49-F238E27FC236}">
                  <a16:creationId xmlns:a16="http://schemas.microsoft.com/office/drawing/2014/main" id="{00000000-0008-0000-1200-00007B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GB1512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103</xdr:row>
          <xdr:rowOff>800100</xdr:rowOff>
        </xdr:from>
        <xdr:to>
          <xdr:col>8</xdr:col>
          <xdr:colOff>0</xdr:colOff>
          <xdr:row>103</xdr:row>
          <xdr:rowOff>1036320</xdr:rowOff>
        </xdr:to>
        <xdr:sp macro="" textlink="">
          <xdr:nvSpPr>
            <xdr:cNvPr id="2274684" name="Option Button 380" hidden="1">
              <a:extLst>
                <a:ext uri="{63B3BB69-23CF-44E3-9099-C40C66FF867C}">
                  <a14:compatExt spid="_x0000_s2274684"/>
                </a:ext>
                <a:ext uri="{FF2B5EF4-FFF2-40B4-BE49-F238E27FC236}">
                  <a16:creationId xmlns:a16="http://schemas.microsoft.com/office/drawing/2014/main" id="{00000000-0008-0000-1200-00007C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103</xdr:row>
          <xdr:rowOff>800100</xdr:rowOff>
        </xdr:from>
        <xdr:to>
          <xdr:col>9</xdr:col>
          <xdr:colOff>0</xdr:colOff>
          <xdr:row>103</xdr:row>
          <xdr:rowOff>1036320</xdr:rowOff>
        </xdr:to>
        <xdr:sp macro="" textlink="">
          <xdr:nvSpPr>
            <xdr:cNvPr id="2274685" name="Option Button 381" hidden="1">
              <a:extLst>
                <a:ext uri="{63B3BB69-23CF-44E3-9099-C40C66FF867C}">
                  <a14:compatExt spid="_x0000_s2274685"/>
                </a:ext>
                <a:ext uri="{FF2B5EF4-FFF2-40B4-BE49-F238E27FC236}">
                  <a16:creationId xmlns:a16="http://schemas.microsoft.com/office/drawing/2014/main" id="{00000000-0008-0000-1200-00007D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103</xdr:row>
          <xdr:rowOff>800100</xdr:rowOff>
        </xdr:from>
        <xdr:to>
          <xdr:col>9</xdr:col>
          <xdr:colOff>541020</xdr:colOff>
          <xdr:row>103</xdr:row>
          <xdr:rowOff>1036320</xdr:rowOff>
        </xdr:to>
        <xdr:sp macro="" textlink="">
          <xdr:nvSpPr>
            <xdr:cNvPr id="2274686" name="Option Button 382" hidden="1">
              <a:extLst>
                <a:ext uri="{63B3BB69-23CF-44E3-9099-C40C66FF867C}">
                  <a14:compatExt spid="_x0000_s2274686"/>
                </a:ext>
                <a:ext uri="{FF2B5EF4-FFF2-40B4-BE49-F238E27FC236}">
                  <a16:creationId xmlns:a16="http://schemas.microsoft.com/office/drawing/2014/main" id="{00000000-0008-0000-1200-00007E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103</xdr:row>
          <xdr:rowOff>693420</xdr:rowOff>
        </xdr:from>
        <xdr:to>
          <xdr:col>10</xdr:col>
          <xdr:colOff>0</xdr:colOff>
          <xdr:row>103</xdr:row>
          <xdr:rowOff>1333500</xdr:rowOff>
        </xdr:to>
        <xdr:sp macro="" textlink="">
          <xdr:nvSpPr>
            <xdr:cNvPr id="2274688" name="GB1513" hidden="1">
              <a:extLst>
                <a:ext uri="{63B3BB69-23CF-44E3-9099-C40C66FF867C}">
                  <a14:compatExt spid="_x0000_s2274688"/>
                </a:ext>
                <a:ext uri="{FF2B5EF4-FFF2-40B4-BE49-F238E27FC236}">
                  <a16:creationId xmlns:a16="http://schemas.microsoft.com/office/drawing/2014/main" id="{00000000-0008-0000-1200-000080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GB1513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104</xdr:row>
          <xdr:rowOff>746760</xdr:rowOff>
        </xdr:from>
        <xdr:to>
          <xdr:col>8</xdr:col>
          <xdr:colOff>0</xdr:colOff>
          <xdr:row>104</xdr:row>
          <xdr:rowOff>982980</xdr:rowOff>
        </xdr:to>
        <xdr:sp macro="" textlink="">
          <xdr:nvSpPr>
            <xdr:cNvPr id="2274689" name="Option Button 385" hidden="1">
              <a:extLst>
                <a:ext uri="{63B3BB69-23CF-44E3-9099-C40C66FF867C}">
                  <a14:compatExt spid="_x0000_s2274689"/>
                </a:ext>
                <a:ext uri="{FF2B5EF4-FFF2-40B4-BE49-F238E27FC236}">
                  <a16:creationId xmlns:a16="http://schemas.microsoft.com/office/drawing/2014/main" id="{00000000-0008-0000-1200-000081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104</xdr:row>
          <xdr:rowOff>746760</xdr:rowOff>
        </xdr:from>
        <xdr:to>
          <xdr:col>9</xdr:col>
          <xdr:colOff>0</xdr:colOff>
          <xdr:row>104</xdr:row>
          <xdr:rowOff>982980</xdr:rowOff>
        </xdr:to>
        <xdr:sp macro="" textlink="">
          <xdr:nvSpPr>
            <xdr:cNvPr id="2274690" name="Option Button 386" hidden="1">
              <a:extLst>
                <a:ext uri="{63B3BB69-23CF-44E3-9099-C40C66FF867C}">
                  <a14:compatExt spid="_x0000_s2274690"/>
                </a:ext>
                <a:ext uri="{FF2B5EF4-FFF2-40B4-BE49-F238E27FC236}">
                  <a16:creationId xmlns:a16="http://schemas.microsoft.com/office/drawing/2014/main" id="{00000000-0008-0000-1200-000082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104</xdr:row>
          <xdr:rowOff>746760</xdr:rowOff>
        </xdr:from>
        <xdr:to>
          <xdr:col>9</xdr:col>
          <xdr:colOff>541020</xdr:colOff>
          <xdr:row>104</xdr:row>
          <xdr:rowOff>982980</xdr:rowOff>
        </xdr:to>
        <xdr:sp macro="" textlink="">
          <xdr:nvSpPr>
            <xdr:cNvPr id="2274691" name="Option Button 387" hidden="1">
              <a:extLst>
                <a:ext uri="{63B3BB69-23CF-44E3-9099-C40C66FF867C}">
                  <a14:compatExt spid="_x0000_s2274691"/>
                </a:ext>
                <a:ext uri="{FF2B5EF4-FFF2-40B4-BE49-F238E27FC236}">
                  <a16:creationId xmlns:a16="http://schemas.microsoft.com/office/drawing/2014/main" id="{00000000-0008-0000-1200-000083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104</xdr:row>
          <xdr:rowOff>693420</xdr:rowOff>
        </xdr:from>
        <xdr:to>
          <xdr:col>10</xdr:col>
          <xdr:colOff>0</xdr:colOff>
          <xdr:row>104</xdr:row>
          <xdr:rowOff>1333500</xdr:rowOff>
        </xdr:to>
        <xdr:sp macro="" textlink="">
          <xdr:nvSpPr>
            <xdr:cNvPr id="2274693" name="GB1521" hidden="1">
              <a:extLst>
                <a:ext uri="{63B3BB69-23CF-44E3-9099-C40C66FF867C}">
                  <a14:compatExt spid="_x0000_s2274693"/>
                </a:ext>
                <a:ext uri="{FF2B5EF4-FFF2-40B4-BE49-F238E27FC236}">
                  <a16:creationId xmlns:a16="http://schemas.microsoft.com/office/drawing/2014/main" id="{00000000-0008-0000-1200-000085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GB1521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106</xdr:row>
          <xdr:rowOff>830580</xdr:rowOff>
        </xdr:from>
        <xdr:to>
          <xdr:col>8</xdr:col>
          <xdr:colOff>0</xdr:colOff>
          <xdr:row>106</xdr:row>
          <xdr:rowOff>1059180</xdr:rowOff>
        </xdr:to>
        <xdr:sp macro="" textlink="">
          <xdr:nvSpPr>
            <xdr:cNvPr id="2274695" name="Option Button 391" hidden="1">
              <a:extLst>
                <a:ext uri="{63B3BB69-23CF-44E3-9099-C40C66FF867C}">
                  <a14:compatExt spid="_x0000_s2274695"/>
                </a:ext>
                <a:ext uri="{FF2B5EF4-FFF2-40B4-BE49-F238E27FC236}">
                  <a16:creationId xmlns:a16="http://schemas.microsoft.com/office/drawing/2014/main" id="{00000000-0008-0000-1200-000087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106</xdr:row>
          <xdr:rowOff>830580</xdr:rowOff>
        </xdr:from>
        <xdr:to>
          <xdr:col>9</xdr:col>
          <xdr:colOff>0</xdr:colOff>
          <xdr:row>106</xdr:row>
          <xdr:rowOff>1059180</xdr:rowOff>
        </xdr:to>
        <xdr:sp macro="" textlink="">
          <xdr:nvSpPr>
            <xdr:cNvPr id="2274696" name="Option Button 392" hidden="1">
              <a:extLst>
                <a:ext uri="{63B3BB69-23CF-44E3-9099-C40C66FF867C}">
                  <a14:compatExt spid="_x0000_s2274696"/>
                </a:ext>
                <a:ext uri="{FF2B5EF4-FFF2-40B4-BE49-F238E27FC236}">
                  <a16:creationId xmlns:a16="http://schemas.microsoft.com/office/drawing/2014/main" id="{00000000-0008-0000-1200-000088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106</xdr:row>
          <xdr:rowOff>830580</xdr:rowOff>
        </xdr:from>
        <xdr:to>
          <xdr:col>9</xdr:col>
          <xdr:colOff>541020</xdr:colOff>
          <xdr:row>106</xdr:row>
          <xdr:rowOff>1059180</xdr:rowOff>
        </xdr:to>
        <xdr:sp macro="" textlink="">
          <xdr:nvSpPr>
            <xdr:cNvPr id="2274697" name="Option Button 393" hidden="1">
              <a:extLst>
                <a:ext uri="{63B3BB69-23CF-44E3-9099-C40C66FF867C}">
                  <a14:compatExt spid="_x0000_s2274697"/>
                </a:ext>
                <a:ext uri="{FF2B5EF4-FFF2-40B4-BE49-F238E27FC236}">
                  <a16:creationId xmlns:a16="http://schemas.microsoft.com/office/drawing/2014/main" id="{00000000-0008-0000-1200-000089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106</xdr:row>
          <xdr:rowOff>723900</xdr:rowOff>
        </xdr:from>
        <xdr:to>
          <xdr:col>10</xdr:col>
          <xdr:colOff>0</xdr:colOff>
          <xdr:row>106</xdr:row>
          <xdr:rowOff>1363980</xdr:rowOff>
        </xdr:to>
        <xdr:sp macro="" textlink="">
          <xdr:nvSpPr>
            <xdr:cNvPr id="2274699" name="GB1711" hidden="1">
              <a:extLst>
                <a:ext uri="{63B3BB69-23CF-44E3-9099-C40C66FF867C}">
                  <a14:compatExt spid="_x0000_s2274699"/>
                </a:ext>
                <a:ext uri="{FF2B5EF4-FFF2-40B4-BE49-F238E27FC236}">
                  <a16:creationId xmlns:a16="http://schemas.microsoft.com/office/drawing/2014/main" id="{00000000-0008-0000-1200-00008B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107</xdr:row>
          <xdr:rowOff>22860</xdr:rowOff>
        </xdr:from>
        <xdr:to>
          <xdr:col>10</xdr:col>
          <xdr:colOff>0</xdr:colOff>
          <xdr:row>107</xdr:row>
          <xdr:rowOff>335280</xdr:rowOff>
        </xdr:to>
        <xdr:sp macro="" textlink="">
          <xdr:nvSpPr>
            <xdr:cNvPr id="2274703" name="GB1721" hidden="1">
              <a:extLst>
                <a:ext uri="{63B3BB69-23CF-44E3-9099-C40C66FF867C}">
                  <a14:compatExt spid="_x0000_s2274703"/>
                </a:ext>
                <a:ext uri="{FF2B5EF4-FFF2-40B4-BE49-F238E27FC236}">
                  <a16:creationId xmlns:a16="http://schemas.microsoft.com/office/drawing/2014/main" id="{00000000-0008-0000-1200-00008F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108</xdr:row>
          <xdr:rowOff>22860</xdr:rowOff>
        </xdr:from>
        <xdr:to>
          <xdr:col>10</xdr:col>
          <xdr:colOff>0</xdr:colOff>
          <xdr:row>108</xdr:row>
          <xdr:rowOff>335280</xdr:rowOff>
        </xdr:to>
        <xdr:sp macro="" textlink="">
          <xdr:nvSpPr>
            <xdr:cNvPr id="2274707" name="GB1722" hidden="1">
              <a:extLst>
                <a:ext uri="{63B3BB69-23CF-44E3-9099-C40C66FF867C}">
                  <a14:compatExt spid="_x0000_s2274707"/>
                </a:ext>
                <a:ext uri="{FF2B5EF4-FFF2-40B4-BE49-F238E27FC236}">
                  <a16:creationId xmlns:a16="http://schemas.microsoft.com/office/drawing/2014/main" id="{00000000-0008-0000-1200-000093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109</xdr:row>
          <xdr:rowOff>22860</xdr:rowOff>
        </xdr:from>
        <xdr:to>
          <xdr:col>10</xdr:col>
          <xdr:colOff>0</xdr:colOff>
          <xdr:row>109</xdr:row>
          <xdr:rowOff>335280</xdr:rowOff>
        </xdr:to>
        <xdr:sp macro="" textlink="">
          <xdr:nvSpPr>
            <xdr:cNvPr id="2274711" name="GB1723" hidden="1">
              <a:extLst>
                <a:ext uri="{63B3BB69-23CF-44E3-9099-C40C66FF867C}">
                  <a14:compatExt spid="_x0000_s2274711"/>
                </a:ext>
                <a:ext uri="{FF2B5EF4-FFF2-40B4-BE49-F238E27FC236}">
                  <a16:creationId xmlns:a16="http://schemas.microsoft.com/office/drawing/2014/main" id="{00000000-0008-0000-1200-000097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110</xdr:row>
          <xdr:rowOff>22860</xdr:rowOff>
        </xdr:from>
        <xdr:to>
          <xdr:col>10</xdr:col>
          <xdr:colOff>0</xdr:colOff>
          <xdr:row>110</xdr:row>
          <xdr:rowOff>335280</xdr:rowOff>
        </xdr:to>
        <xdr:sp macro="" textlink="">
          <xdr:nvSpPr>
            <xdr:cNvPr id="2274715" name="GB1724" hidden="1">
              <a:extLst>
                <a:ext uri="{63B3BB69-23CF-44E3-9099-C40C66FF867C}">
                  <a14:compatExt spid="_x0000_s2274715"/>
                </a:ext>
                <a:ext uri="{FF2B5EF4-FFF2-40B4-BE49-F238E27FC236}">
                  <a16:creationId xmlns:a16="http://schemas.microsoft.com/office/drawing/2014/main" id="{00000000-0008-0000-1200-00009B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111</xdr:row>
          <xdr:rowOff>22860</xdr:rowOff>
        </xdr:from>
        <xdr:to>
          <xdr:col>10</xdr:col>
          <xdr:colOff>0</xdr:colOff>
          <xdr:row>111</xdr:row>
          <xdr:rowOff>335280</xdr:rowOff>
        </xdr:to>
        <xdr:sp macro="" textlink="">
          <xdr:nvSpPr>
            <xdr:cNvPr id="2274719" name="GB1725" hidden="1">
              <a:extLst>
                <a:ext uri="{63B3BB69-23CF-44E3-9099-C40C66FF867C}">
                  <a14:compatExt spid="_x0000_s2274719"/>
                </a:ext>
                <a:ext uri="{FF2B5EF4-FFF2-40B4-BE49-F238E27FC236}">
                  <a16:creationId xmlns:a16="http://schemas.microsoft.com/office/drawing/2014/main" id="{00000000-0008-0000-1200-00009F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112</xdr:row>
          <xdr:rowOff>22860</xdr:rowOff>
        </xdr:from>
        <xdr:to>
          <xdr:col>10</xdr:col>
          <xdr:colOff>0</xdr:colOff>
          <xdr:row>112</xdr:row>
          <xdr:rowOff>335280</xdr:rowOff>
        </xdr:to>
        <xdr:sp macro="" textlink="">
          <xdr:nvSpPr>
            <xdr:cNvPr id="2274723" name="GB1726" hidden="1">
              <a:extLst>
                <a:ext uri="{63B3BB69-23CF-44E3-9099-C40C66FF867C}">
                  <a14:compatExt spid="_x0000_s2274723"/>
                </a:ext>
                <a:ext uri="{FF2B5EF4-FFF2-40B4-BE49-F238E27FC236}">
                  <a16:creationId xmlns:a16="http://schemas.microsoft.com/office/drawing/2014/main" id="{00000000-0008-0000-1200-0000A3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113</xdr:row>
          <xdr:rowOff>22860</xdr:rowOff>
        </xdr:from>
        <xdr:to>
          <xdr:col>10</xdr:col>
          <xdr:colOff>0</xdr:colOff>
          <xdr:row>113</xdr:row>
          <xdr:rowOff>335280</xdr:rowOff>
        </xdr:to>
        <xdr:sp macro="" textlink="">
          <xdr:nvSpPr>
            <xdr:cNvPr id="2274727" name="GB1727" hidden="1">
              <a:extLst>
                <a:ext uri="{63B3BB69-23CF-44E3-9099-C40C66FF867C}">
                  <a14:compatExt spid="_x0000_s2274727"/>
                </a:ext>
                <a:ext uri="{FF2B5EF4-FFF2-40B4-BE49-F238E27FC236}">
                  <a16:creationId xmlns:a16="http://schemas.microsoft.com/office/drawing/2014/main" id="{00000000-0008-0000-1200-0000A7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114</xdr:row>
          <xdr:rowOff>22860</xdr:rowOff>
        </xdr:from>
        <xdr:to>
          <xdr:col>10</xdr:col>
          <xdr:colOff>0</xdr:colOff>
          <xdr:row>114</xdr:row>
          <xdr:rowOff>335280</xdr:rowOff>
        </xdr:to>
        <xdr:sp macro="" textlink="">
          <xdr:nvSpPr>
            <xdr:cNvPr id="2274731" name="GB1728" hidden="1">
              <a:extLst>
                <a:ext uri="{63B3BB69-23CF-44E3-9099-C40C66FF867C}">
                  <a14:compatExt spid="_x0000_s2274731"/>
                </a:ext>
                <a:ext uri="{FF2B5EF4-FFF2-40B4-BE49-F238E27FC236}">
                  <a16:creationId xmlns:a16="http://schemas.microsoft.com/office/drawing/2014/main" id="{00000000-0008-0000-1200-0000AB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10</xdr:row>
          <xdr:rowOff>45720</xdr:rowOff>
        </xdr:from>
        <xdr:to>
          <xdr:col>12</xdr:col>
          <xdr:colOff>0</xdr:colOff>
          <xdr:row>10</xdr:row>
          <xdr:rowOff>297180</xdr:rowOff>
        </xdr:to>
        <xdr:sp macro="" textlink="">
          <xdr:nvSpPr>
            <xdr:cNvPr id="2274733" name="Check Box 429" hidden="1">
              <a:extLst>
                <a:ext uri="{63B3BB69-23CF-44E3-9099-C40C66FF867C}">
                  <a14:compatExt spid="_x0000_s2274733"/>
                </a:ext>
                <a:ext uri="{FF2B5EF4-FFF2-40B4-BE49-F238E27FC236}">
                  <a16:creationId xmlns:a16="http://schemas.microsoft.com/office/drawing/2014/main" id="{00000000-0008-0000-1200-0000AD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11</xdr:row>
          <xdr:rowOff>45720</xdr:rowOff>
        </xdr:from>
        <xdr:to>
          <xdr:col>12</xdr:col>
          <xdr:colOff>0</xdr:colOff>
          <xdr:row>11</xdr:row>
          <xdr:rowOff>297180</xdr:rowOff>
        </xdr:to>
        <xdr:sp macro="" textlink="">
          <xdr:nvSpPr>
            <xdr:cNvPr id="2274734" name="Check Box 430" hidden="1">
              <a:extLst>
                <a:ext uri="{63B3BB69-23CF-44E3-9099-C40C66FF867C}">
                  <a14:compatExt spid="_x0000_s2274734"/>
                </a:ext>
                <a:ext uri="{FF2B5EF4-FFF2-40B4-BE49-F238E27FC236}">
                  <a16:creationId xmlns:a16="http://schemas.microsoft.com/office/drawing/2014/main" id="{00000000-0008-0000-1200-0000AE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12</xdr:row>
          <xdr:rowOff>45720</xdr:rowOff>
        </xdr:from>
        <xdr:to>
          <xdr:col>12</xdr:col>
          <xdr:colOff>0</xdr:colOff>
          <xdr:row>12</xdr:row>
          <xdr:rowOff>297180</xdr:rowOff>
        </xdr:to>
        <xdr:sp macro="" textlink="">
          <xdr:nvSpPr>
            <xdr:cNvPr id="2274735" name="Check Box 431" hidden="1">
              <a:extLst>
                <a:ext uri="{63B3BB69-23CF-44E3-9099-C40C66FF867C}">
                  <a14:compatExt spid="_x0000_s2274735"/>
                </a:ext>
                <a:ext uri="{FF2B5EF4-FFF2-40B4-BE49-F238E27FC236}">
                  <a16:creationId xmlns:a16="http://schemas.microsoft.com/office/drawing/2014/main" id="{00000000-0008-0000-1200-0000AF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13</xdr:row>
          <xdr:rowOff>45720</xdr:rowOff>
        </xdr:from>
        <xdr:to>
          <xdr:col>12</xdr:col>
          <xdr:colOff>0</xdr:colOff>
          <xdr:row>13</xdr:row>
          <xdr:rowOff>297180</xdr:rowOff>
        </xdr:to>
        <xdr:sp macro="" textlink="">
          <xdr:nvSpPr>
            <xdr:cNvPr id="2274736" name="Check Box 432" hidden="1">
              <a:extLst>
                <a:ext uri="{63B3BB69-23CF-44E3-9099-C40C66FF867C}">
                  <a14:compatExt spid="_x0000_s2274736"/>
                </a:ext>
                <a:ext uri="{FF2B5EF4-FFF2-40B4-BE49-F238E27FC236}">
                  <a16:creationId xmlns:a16="http://schemas.microsoft.com/office/drawing/2014/main" id="{00000000-0008-0000-1200-0000B0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14</xdr:row>
          <xdr:rowOff>45720</xdr:rowOff>
        </xdr:from>
        <xdr:to>
          <xdr:col>12</xdr:col>
          <xdr:colOff>0</xdr:colOff>
          <xdr:row>14</xdr:row>
          <xdr:rowOff>297180</xdr:rowOff>
        </xdr:to>
        <xdr:sp macro="" textlink="">
          <xdr:nvSpPr>
            <xdr:cNvPr id="2274737" name="Check Box 433" hidden="1">
              <a:extLst>
                <a:ext uri="{63B3BB69-23CF-44E3-9099-C40C66FF867C}">
                  <a14:compatExt spid="_x0000_s2274737"/>
                </a:ext>
                <a:ext uri="{FF2B5EF4-FFF2-40B4-BE49-F238E27FC236}">
                  <a16:creationId xmlns:a16="http://schemas.microsoft.com/office/drawing/2014/main" id="{00000000-0008-0000-1200-0000B1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15</xdr:row>
          <xdr:rowOff>45720</xdr:rowOff>
        </xdr:from>
        <xdr:to>
          <xdr:col>12</xdr:col>
          <xdr:colOff>0</xdr:colOff>
          <xdr:row>15</xdr:row>
          <xdr:rowOff>297180</xdr:rowOff>
        </xdr:to>
        <xdr:sp macro="" textlink="">
          <xdr:nvSpPr>
            <xdr:cNvPr id="2274738" name="Check Box 434" hidden="1">
              <a:extLst>
                <a:ext uri="{63B3BB69-23CF-44E3-9099-C40C66FF867C}">
                  <a14:compatExt spid="_x0000_s2274738"/>
                </a:ext>
                <a:ext uri="{FF2B5EF4-FFF2-40B4-BE49-F238E27FC236}">
                  <a16:creationId xmlns:a16="http://schemas.microsoft.com/office/drawing/2014/main" id="{00000000-0008-0000-1200-0000B2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16</xdr:row>
          <xdr:rowOff>45720</xdr:rowOff>
        </xdr:from>
        <xdr:to>
          <xdr:col>12</xdr:col>
          <xdr:colOff>0</xdr:colOff>
          <xdr:row>16</xdr:row>
          <xdr:rowOff>297180</xdr:rowOff>
        </xdr:to>
        <xdr:sp macro="" textlink="">
          <xdr:nvSpPr>
            <xdr:cNvPr id="2274739" name="Check Box 435" hidden="1">
              <a:extLst>
                <a:ext uri="{63B3BB69-23CF-44E3-9099-C40C66FF867C}">
                  <a14:compatExt spid="_x0000_s2274739"/>
                </a:ext>
                <a:ext uri="{FF2B5EF4-FFF2-40B4-BE49-F238E27FC236}">
                  <a16:creationId xmlns:a16="http://schemas.microsoft.com/office/drawing/2014/main" id="{00000000-0008-0000-1200-0000B3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18</xdr:row>
          <xdr:rowOff>45720</xdr:rowOff>
        </xdr:from>
        <xdr:to>
          <xdr:col>12</xdr:col>
          <xdr:colOff>0</xdr:colOff>
          <xdr:row>18</xdr:row>
          <xdr:rowOff>297180</xdr:rowOff>
        </xdr:to>
        <xdr:sp macro="" textlink="">
          <xdr:nvSpPr>
            <xdr:cNvPr id="2274740" name="Check Box 436" hidden="1">
              <a:extLst>
                <a:ext uri="{63B3BB69-23CF-44E3-9099-C40C66FF867C}">
                  <a14:compatExt spid="_x0000_s2274740"/>
                </a:ext>
                <a:ext uri="{FF2B5EF4-FFF2-40B4-BE49-F238E27FC236}">
                  <a16:creationId xmlns:a16="http://schemas.microsoft.com/office/drawing/2014/main" id="{00000000-0008-0000-1200-0000B4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17</xdr:row>
          <xdr:rowOff>982980</xdr:rowOff>
        </xdr:from>
        <xdr:to>
          <xdr:col>12</xdr:col>
          <xdr:colOff>0</xdr:colOff>
          <xdr:row>17</xdr:row>
          <xdr:rowOff>1226820</xdr:rowOff>
        </xdr:to>
        <xdr:sp macro="" textlink="">
          <xdr:nvSpPr>
            <xdr:cNvPr id="2274741" name="Check Box 437" hidden="1">
              <a:extLst>
                <a:ext uri="{63B3BB69-23CF-44E3-9099-C40C66FF867C}">
                  <a14:compatExt spid="_x0000_s2274741"/>
                </a:ext>
                <a:ext uri="{FF2B5EF4-FFF2-40B4-BE49-F238E27FC236}">
                  <a16:creationId xmlns:a16="http://schemas.microsoft.com/office/drawing/2014/main" id="{00000000-0008-0000-1200-0000B5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19</xdr:row>
          <xdr:rowOff>579120</xdr:rowOff>
        </xdr:from>
        <xdr:to>
          <xdr:col>12</xdr:col>
          <xdr:colOff>0</xdr:colOff>
          <xdr:row>19</xdr:row>
          <xdr:rowOff>830580</xdr:rowOff>
        </xdr:to>
        <xdr:sp macro="" textlink="">
          <xdr:nvSpPr>
            <xdr:cNvPr id="2274742" name="Check Box 438" hidden="1">
              <a:extLst>
                <a:ext uri="{63B3BB69-23CF-44E3-9099-C40C66FF867C}">
                  <a14:compatExt spid="_x0000_s2274742"/>
                </a:ext>
                <a:ext uri="{FF2B5EF4-FFF2-40B4-BE49-F238E27FC236}">
                  <a16:creationId xmlns:a16="http://schemas.microsoft.com/office/drawing/2014/main" id="{00000000-0008-0000-1200-0000B6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20</xdr:row>
          <xdr:rowOff>45720</xdr:rowOff>
        </xdr:from>
        <xdr:to>
          <xdr:col>12</xdr:col>
          <xdr:colOff>0</xdr:colOff>
          <xdr:row>20</xdr:row>
          <xdr:rowOff>297180</xdr:rowOff>
        </xdr:to>
        <xdr:sp macro="" textlink="">
          <xdr:nvSpPr>
            <xdr:cNvPr id="2274743" name="Check Box 439" hidden="1">
              <a:extLst>
                <a:ext uri="{63B3BB69-23CF-44E3-9099-C40C66FF867C}">
                  <a14:compatExt spid="_x0000_s2274743"/>
                </a:ext>
                <a:ext uri="{FF2B5EF4-FFF2-40B4-BE49-F238E27FC236}">
                  <a16:creationId xmlns:a16="http://schemas.microsoft.com/office/drawing/2014/main" id="{00000000-0008-0000-1200-0000B7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22</xdr:row>
          <xdr:rowOff>45720</xdr:rowOff>
        </xdr:from>
        <xdr:to>
          <xdr:col>12</xdr:col>
          <xdr:colOff>0</xdr:colOff>
          <xdr:row>22</xdr:row>
          <xdr:rowOff>297180</xdr:rowOff>
        </xdr:to>
        <xdr:sp macro="" textlink="">
          <xdr:nvSpPr>
            <xdr:cNvPr id="2274744" name="Check Box 440" hidden="1">
              <a:extLst>
                <a:ext uri="{63B3BB69-23CF-44E3-9099-C40C66FF867C}">
                  <a14:compatExt spid="_x0000_s2274744"/>
                </a:ext>
                <a:ext uri="{FF2B5EF4-FFF2-40B4-BE49-F238E27FC236}">
                  <a16:creationId xmlns:a16="http://schemas.microsoft.com/office/drawing/2014/main" id="{00000000-0008-0000-1200-0000B8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23</xdr:row>
          <xdr:rowOff>45720</xdr:rowOff>
        </xdr:from>
        <xdr:to>
          <xdr:col>12</xdr:col>
          <xdr:colOff>0</xdr:colOff>
          <xdr:row>23</xdr:row>
          <xdr:rowOff>297180</xdr:rowOff>
        </xdr:to>
        <xdr:sp macro="" textlink="">
          <xdr:nvSpPr>
            <xdr:cNvPr id="2274826" name="Check Box 522" hidden="1">
              <a:extLst>
                <a:ext uri="{63B3BB69-23CF-44E3-9099-C40C66FF867C}">
                  <a14:compatExt spid="_x0000_s2274826"/>
                </a:ext>
                <a:ext uri="{FF2B5EF4-FFF2-40B4-BE49-F238E27FC236}">
                  <a16:creationId xmlns:a16="http://schemas.microsoft.com/office/drawing/2014/main" id="{00000000-0008-0000-1200-00000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24</xdr:row>
          <xdr:rowOff>45720</xdr:rowOff>
        </xdr:from>
        <xdr:to>
          <xdr:col>12</xdr:col>
          <xdr:colOff>0</xdr:colOff>
          <xdr:row>24</xdr:row>
          <xdr:rowOff>297180</xdr:rowOff>
        </xdr:to>
        <xdr:sp macro="" textlink="">
          <xdr:nvSpPr>
            <xdr:cNvPr id="2274827" name="Check Box 523" hidden="1">
              <a:extLst>
                <a:ext uri="{63B3BB69-23CF-44E3-9099-C40C66FF867C}">
                  <a14:compatExt spid="_x0000_s2274827"/>
                </a:ext>
                <a:ext uri="{FF2B5EF4-FFF2-40B4-BE49-F238E27FC236}">
                  <a16:creationId xmlns:a16="http://schemas.microsoft.com/office/drawing/2014/main" id="{00000000-0008-0000-1200-00000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25</xdr:row>
          <xdr:rowOff>350520</xdr:rowOff>
        </xdr:from>
        <xdr:to>
          <xdr:col>12</xdr:col>
          <xdr:colOff>0</xdr:colOff>
          <xdr:row>25</xdr:row>
          <xdr:rowOff>601980</xdr:rowOff>
        </xdr:to>
        <xdr:sp macro="" textlink="">
          <xdr:nvSpPr>
            <xdr:cNvPr id="2274828" name="Check Box 524" hidden="1">
              <a:extLst>
                <a:ext uri="{63B3BB69-23CF-44E3-9099-C40C66FF867C}">
                  <a14:compatExt spid="_x0000_s2274828"/>
                </a:ext>
                <a:ext uri="{FF2B5EF4-FFF2-40B4-BE49-F238E27FC236}">
                  <a16:creationId xmlns:a16="http://schemas.microsoft.com/office/drawing/2014/main" id="{00000000-0008-0000-1200-00000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27</xdr:row>
          <xdr:rowOff>45720</xdr:rowOff>
        </xdr:from>
        <xdr:to>
          <xdr:col>12</xdr:col>
          <xdr:colOff>0</xdr:colOff>
          <xdr:row>27</xdr:row>
          <xdr:rowOff>297180</xdr:rowOff>
        </xdr:to>
        <xdr:sp macro="" textlink="">
          <xdr:nvSpPr>
            <xdr:cNvPr id="2274830" name="Check Box 526" hidden="1">
              <a:extLst>
                <a:ext uri="{63B3BB69-23CF-44E3-9099-C40C66FF867C}">
                  <a14:compatExt spid="_x0000_s2274830"/>
                </a:ext>
                <a:ext uri="{FF2B5EF4-FFF2-40B4-BE49-F238E27FC236}">
                  <a16:creationId xmlns:a16="http://schemas.microsoft.com/office/drawing/2014/main" id="{00000000-0008-0000-1200-00000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28</xdr:row>
          <xdr:rowOff>45720</xdr:rowOff>
        </xdr:from>
        <xdr:to>
          <xdr:col>12</xdr:col>
          <xdr:colOff>0</xdr:colOff>
          <xdr:row>28</xdr:row>
          <xdr:rowOff>297180</xdr:rowOff>
        </xdr:to>
        <xdr:sp macro="" textlink="">
          <xdr:nvSpPr>
            <xdr:cNvPr id="2274831" name="Check Box 527" hidden="1">
              <a:extLst>
                <a:ext uri="{63B3BB69-23CF-44E3-9099-C40C66FF867C}">
                  <a14:compatExt spid="_x0000_s2274831"/>
                </a:ext>
                <a:ext uri="{FF2B5EF4-FFF2-40B4-BE49-F238E27FC236}">
                  <a16:creationId xmlns:a16="http://schemas.microsoft.com/office/drawing/2014/main" id="{00000000-0008-0000-1200-00000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29</xdr:row>
          <xdr:rowOff>45720</xdr:rowOff>
        </xdr:from>
        <xdr:to>
          <xdr:col>12</xdr:col>
          <xdr:colOff>0</xdr:colOff>
          <xdr:row>29</xdr:row>
          <xdr:rowOff>297180</xdr:rowOff>
        </xdr:to>
        <xdr:sp macro="" textlink="">
          <xdr:nvSpPr>
            <xdr:cNvPr id="2274832" name="Check Box 528" hidden="1">
              <a:extLst>
                <a:ext uri="{63B3BB69-23CF-44E3-9099-C40C66FF867C}">
                  <a14:compatExt spid="_x0000_s2274832"/>
                </a:ext>
                <a:ext uri="{FF2B5EF4-FFF2-40B4-BE49-F238E27FC236}">
                  <a16:creationId xmlns:a16="http://schemas.microsoft.com/office/drawing/2014/main" id="{00000000-0008-0000-1200-00001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30</xdr:row>
          <xdr:rowOff>45720</xdr:rowOff>
        </xdr:from>
        <xdr:to>
          <xdr:col>12</xdr:col>
          <xdr:colOff>0</xdr:colOff>
          <xdr:row>30</xdr:row>
          <xdr:rowOff>297180</xdr:rowOff>
        </xdr:to>
        <xdr:sp macro="" textlink="">
          <xdr:nvSpPr>
            <xdr:cNvPr id="2274833" name="Check Box 529" hidden="1">
              <a:extLst>
                <a:ext uri="{63B3BB69-23CF-44E3-9099-C40C66FF867C}">
                  <a14:compatExt spid="_x0000_s2274833"/>
                </a:ext>
                <a:ext uri="{FF2B5EF4-FFF2-40B4-BE49-F238E27FC236}">
                  <a16:creationId xmlns:a16="http://schemas.microsoft.com/office/drawing/2014/main" id="{00000000-0008-0000-1200-00001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31</xdr:row>
          <xdr:rowOff>45720</xdr:rowOff>
        </xdr:from>
        <xdr:to>
          <xdr:col>12</xdr:col>
          <xdr:colOff>0</xdr:colOff>
          <xdr:row>31</xdr:row>
          <xdr:rowOff>297180</xdr:rowOff>
        </xdr:to>
        <xdr:sp macro="" textlink="">
          <xdr:nvSpPr>
            <xdr:cNvPr id="2274834" name="Check Box 530" hidden="1">
              <a:extLst>
                <a:ext uri="{63B3BB69-23CF-44E3-9099-C40C66FF867C}">
                  <a14:compatExt spid="_x0000_s2274834"/>
                </a:ext>
                <a:ext uri="{FF2B5EF4-FFF2-40B4-BE49-F238E27FC236}">
                  <a16:creationId xmlns:a16="http://schemas.microsoft.com/office/drawing/2014/main" id="{00000000-0008-0000-1200-00001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32</xdr:row>
          <xdr:rowOff>45720</xdr:rowOff>
        </xdr:from>
        <xdr:to>
          <xdr:col>12</xdr:col>
          <xdr:colOff>0</xdr:colOff>
          <xdr:row>32</xdr:row>
          <xdr:rowOff>297180</xdr:rowOff>
        </xdr:to>
        <xdr:sp macro="" textlink="">
          <xdr:nvSpPr>
            <xdr:cNvPr id="2274835" name="Check Box 531" hidden="1">
              <a:extLst>
                <a:ext uri="{63B3BB69-23CF-44E3-9099-C40C66FF867C}">
                  <a14:compatExt spid="_x0000_s2274835"/>
                </a:ext>
                <a:ext uri="{FF2B5EF4-FFF2-40B4-BE49-F238E27FC236}">
                  <a16:creationId xmlns:a16="http://schemas.microsoft.com/office/drawing/2014/main" id="{00000000-0008-0000-1200-00001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33</xdr:row>
          <xdr:rowOff>525780</xdr:rowOff>
        </xdr:from>
        <xdr:to>
          <xdr:col>12</xdr:col>
          <xdr:colOff>0</xdr:colOff>
          <xdr:row>33</xdr:row>
          <xdr:rowOff>769620</xdr:rowOff>
        </xdr:to>
        <xdr:sp macro="" textlink="">
          <xdr:nvSpPr>
            <xdr:cNvPr id="2274836" name="Check Box 532" hidden="1">
              <a:extLst>
                <a:ext uri="{63B3BB69-23CF-44E3-9099-C40C66FF867C}">
                  <a14:compatExt spid="_x0000_s2274836"/>
                </a:ext>
                <a:ext uri="{FF2B5EF4-FFF2-40B4-BE49-F238E27FC236}">
                  <a16:creationId xmlns:a16="http://schemas.microsoft.com/office/drawing/2014/main" id="{00000000-0008-0000-1200-00001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34</xdr:row>
          <xdr:rowOff>579120</xdr:rowOff>
        </xdr:from>
        <xdr:to>
          <xdr:col>12</xdr:col>
          <xdr:colOff>0</xdr:colOff>
          <xdr:row>34</xdr:row>
          <xdr:rowOff>830580</xdr:rowOff>
        </xdr:to>
        <xdr:sp macro="" textlink="">
          <xdr:nvSpPr>
            <xdr:cNvPr id="2274837" name="Check Box 533" hidden="1">
              <a:extLst>
                <a:ext uri="{63B3BB69-23CF-44E3-9099-C40C66FF867C}">
                  <a14:compatExt spid="_x0000_s2274837"/>
                </a:ext>
                <a:ext uri="{FF2B5EF4-FFF2-40B4-BE49-F238E27FC236}">
                  <a16:creationId xmlns:a16="http://schemas.microsoft.com/office/drawing/2014/main" id="{00000000-0008-0000-1200-00001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35</xdr:row>
          <xdr:rowOff>45720</xdr:rowOff>
        </xdr:from>
        <xdr:to>
          <xdr:col>12</xdr:col>
          <xdr:colOff>0</xdr:colOff>
          <xdr:row>35</xdr:row>
          <xdr:rowOff>297180</xdr:rowOff>
        </xdr:to>
        <xdr:sp macro="" textlink="">
          <xdr:nvSpPr>
            <xdr:cNvPr id="2274838" name="Check Box 534" hidden="1">
              <a:extLst>
                <a:ext uri="{63B3BB69-23CF-44E3-9099-C40C66FF867C}">
                  <a14:compatExt spid="_x0000_s2274838"/>
                </a:ext>
                <a:ext uri="{FF2B5EF4-FFF2-40B4-BE49-F238E27FC236}">
                  <a16:creationId xmlns:a16="http://schemas.microsoft.com/office/drawing/2014/main" id="{00000000-0008-0000-1200-00001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37</xdr:row>
          <xdr:rowOff>45720</xdr:rowOff>
        </xdr:from>
        <xdr:to>
          <xdr:col>12</xdr:col>
          <xdr:colOff>0</xdr:colOff>
          <xdr:row>37</xdr:row>
          <xdr:rowOff>297180</xdr:rowOff>
        </xdr:to>
        <xdr:sp macro="" textlink="">
          <xdr:nvSpPr>
            <xdr:cNvPr id="2274840" name="Check Box 536" hidden="1">
              <a:extLst>
                <a:ext uri="{63B3BB69-23CF-44E3-9099-C40C66FF867C}">
                  <a14:compatExt spid="_x0000_s2274840"/>
                </a:ext>
                <a:ext uri="{FF2B5EF4-FFF2-40B4-BE49-F238E27FC236}">
                  <a16:creationId xmlns:a16="http://schemas.microsoft.com/office/drawing/2014/main" id="{00000000-0008-0000-1200-00001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38</xdr:row>
          <xdr:rowOff>1127760</xdr:rowOff>
        </xdr:from>
        <xdr:to>
          <xdr:col>12</xdr:col>
          <xdr:colOff>0</xdr:colOff>
          <xdr:row>38</xdr:row>
          <xdr:rowOff>1371600</xdr:rowOff>
        </xdr:to>
        <xdr:sp macro="" textlink="">
          <xdr:nvSpPr>
            <xdr:cNvPr id="2274841" name="Check Box 537" hidden="1">
              <a:extLst>
                <a:ext uri="{63B3BB69-23CF-44E3-9099-C40C66FF867C}">
                  <a14:compatExt spid="_x0000_s2274841"/>
                </a:ext>
                <a:ext uri="{FF2B5EF4-FFF2-40B4-BE49-F238E27FC236}">
                  <a16:creationId xmlns:a16="http://schemas.microsoft.com/office/drawing/2014/main" id="{00000000-0008-0000-1200-00001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40</xdr:row>
          <xdr:rowOff>45720</xdr:rowOff>
        </xdr:from>
        <xdr:to>
          <xdr:col>12</xdr:col>
          <xdr:colOff>0</xdr:colOff>
          <xdr:row>40</xdr:row>
          <xdr:rowOff>297180</xdr:rowOff>
        </xdr:to>
        <xdr:sp macro="" textlink="">
          <xdr:nvSpPr>
            <xdr:cNvPr id="2274842" name="Check Box 538" hidden="1">
              <a:extLst>
                <a:ext uri="{63B3BB69-23CF-44E3-9099-C40C66FF867C}">
                  <a14:compatExt spid="_x0000_s2274842"/>
                </a:ext>
                <a:ext uri="{FF2B5EF4-FFF2-40B4-BE49-F238E27FC236}">
                  <a16:creationId xmlns:a16="http://schemas.microsoft.com/office/drawing/2014/main" id="{00000000-0008-0000-1200-00001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41</xdr:row>
          <xdr:rowOff>45720</xdr:rowOff>
        </xdr:from>
        <xdr:to>
          <xdr:col>12</xdr:col>
          <xdr:colOff>0</xdr:colOff>
          <xdr:row>41</xdr:row>
          <xdr:rowOff>297180</xdr:rowOff>
        </xdr:to>
        <xdr:sp macro="" textlink="">
          <xdr:nvSpPr>
            <xdr:cNvPr id="2274843" name="Check Box 539" hidden="1">
              <a:extLst>
                <a:ext uri="{63B3BB69-23CF-44E3-9099-C40C66FF867C}">
                  <a14:compatExt spid="_x0000_s2274843"/>
                </a:ext>
                <a:ext uri="{FF2B5EF4-FFF2-40B4-BE49-F238E27FC236}">
                  <a16:creationId xmlns:a16="http://schemas.microsoft.com/office/drawing/2014/main" id="{00000000-0008-0000-1200-00001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42</xdr:row>
          <xdr:rowOff>678180</xdr:rowOff>
        </xdr:from>
        <xdr:to>
          <xdr:col>12</xdr:col>
          <xdr:colOff>0</xdr:colOff>
          <xdr:row>42</xdr:row>
          <xdr:rowOff>922020</xdr:rowOff>
        </xdr:to>
        <xdr:sp macro="" textlink="">
          <xdr:nvSpPr>
            <xdr:cNvPr id="2274844" name="Check Box 540" hidden="1">
              <a:extLst>
                <a:ext uri="{63B3BB69-23CF-44E3-9099-C40C66FF867C}">
                  <a14:compatExt spid="_x0000_s2274844"/>
                </a:ext>
                <a:ext uri="{FF2B5EF4-FFF2-40B4-BE49-F238E27FC236}">
                  <a16:creationId xmlns:a16="http://schemas.microsoft.com/office/drawing/2014/main" id="{00000000-0008-0000-1200-00001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44</xdr:row>
          <xdr:rowOff>937260</xdr:rowOff>
        </xdr:from>
        <xdr:to>
          <xdr:col>12</xdr:col>
          <xdr:colOff>0</xdr:colOff>
          <xdr:row>44</xdr:row>
          <xdr:rowOff>1181100</xdr:rowOff>
        </xdr:to>
        <xdr:sp macro="" textlink="">
          <xdr:nvSpPr>
            <xdr:cNvPr id="2274845" name="Check Box 541" hidden="1">
              <a:extLst>
                <a:ext uri="{63B3BB69-23CF-44E3-9099-C40C66FF867C}">
                  <a14:compatExt spid="_x0000_s2274845"/>
                </a:ext>
                <a:ext uri="{FF2B5EF4-FFF2-40B4-BE49-F238E27FC236}">
                  <a16:creationId xmlns:a16="http://schemas.microsoft.com/office/drawing/2014/main" id="{00000000-0008-0000-1200-00001D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45</xdr:row>
          <xdr:rowOff>99060</xdr:rowOff>
        </xdr:from>
        <xdr:to>
          <xdr:col>12</xdr:col>
          <xdr:colOff>0</xdr:colOff>
          <xdr:row>45</xdr:row>
          <xdr:rowOff>342900</xdr:rowOff>
        </xdr:to>
        <xdr:sp macro="" textlink="">
          <xdr:nvSpPr>
            <xdr:cNvPr id="2274846" name="Check Box 542" hidden="1">
              <a:extLst>
                <a:ext uri="{63B3BB69-23CF-44E3-9099-C40C66FF867C}">
                  <a14:compatExt spid="_x0000_s2274846"/>
                </a:ext>
                <a:ext uri="{FF2B5EF4-FFF2-40B4-BE49-F238E27FC236}">
                  <a16:creationId xmlns:a16="http://schemas.microsoft.com/office/drawing/2014/main" id="{00000000-0008-0000-1200-00001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47</xdr:row>
          <xdr:rowOff>647700</xdr:rowOff>
        </xdr:from>
        <xdr:to>
          <xdr:col>12</xdr:col>
          <xdr:colOff>0</xdr:colOff>
          <xdr:row>47</xdr:row>
          <xdr:rowOff>899160</xdr:rowOff>
        </xdr:to>
        <xdr:sp macro="" textlink="">
          <xdr:nvSpPr>
            <xdr:cNvPr id="2274847" name="Check Box 543" hidden="1">
              <a:extLst>
                <a:ext uri="{63B3BB69-23CF-44E3-9099-C40C66FF867C}">
                  <a14:compatExt spid="_x0000_s2274847"/>
                </a:ext>
                <a:ext uri="{FF2B5EF4-FFF2-40B4-BE49-F238E27FC236}">
                  <a16:creationId xmlns:a16="http://schemas.microsoft.com/office/drawing/2014/main" id="{00000000-0008-0000-1200-00001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48</xdr:row>
          <xdr:rowOff>617220</xdr:rowOff>
        </xdr:from>
        <xdr:to>
          <xdr:col>12</xdr:col>
          <xdr:colOff>0</xdr:colOff>
          <xdr:row>48</xdr:row>
          <xdr:rowOff>868680</xdr:rowOff>
        </xdr:to>
        <xdr:sp macro="" textlink="">
          <xdr:nvSpPr>
            <xdr:cNvPr id="2274848" name="Check Box 544" hidden="1">
              <a:extLst>
                <a:ext uri="{63B3BB69-23CF-44E3-9099-C40C66FF867C}">
                  <a14:compatExt spid="_x0000_s2274848"/>
                </a:ext>
                <a:ext uri="{FF2B5EF4-FFF2-40B4-BE49-F238E27FC236}">
                  <a16:creationId xmlns:a16="http://schemas.microsoft.com/office/drawing/2014/main" id="{00000000-0008-0000-1200-00002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49</xdr:row>
          <xdr:rowOff>60960</xdr:rowOff>
        </xdr:from>
        <xdr:to>
          <xdr:col>12</xdr:col>
          <xdr:colOff>0</xdr:colOff>
          <xdr:row>49</xdr:row>
          <xdr:rowOff>297180</xdr:rowOff>
        </xdr:to>
        <xdr:sp macro="" textlink="">
          <xdr:nvSpPr>
            <xdr:cNvPr id="2274849" name="Check Box 545" hidden="1">
              <a:extLst>
                <a:ext uri="{63B3BB69-23CF-44E3-9099-C40C66FF867C}">
                  <a14:compatExt spid="_x0000_s2274849"/>
                </a:ext>
                <a:ext uri="{FF2B5EF4-FFF2-40B4-BE49-F238E27FC236}">
                  <a16:creationId xmlns:a16="http://schemas.microsoft.com/office/drawing/2014/main" id="{00000000-0008-0000-1200-00002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50</xdr:row>
          <xdr:rowOff>45720</xdr:rowOff>
        </xdr:from>
        <xdr:to>
          <xdr:col>12</xdr:col>
          <xdr:colOff>0</xdr:colOff>
          <xdr:row>50</xdr:row>
          <xdr:rowOff>297180</xdr:rowOff>
        </xdr:to>
        <xdr:sp macro="" textlink="">
          <xdr:nvSpPr>
            <xdr:cNvPr id="2274850" name="Check Box 546" hidden="1">
              <a:extLst>
                <a:ext uri="{63B3BB69-23CF-44E3-9099-C40C66FF867C}">
                  <a14:compatExt spid="_x0000_s2274850"/>
                </a:ext>
                <a:ext uri="{FF2B5EF4-FFF2-40B4-BE49-F238E27FC236}">
                  <a16:creationId xmlns:a16="http://schemas.microsoft.com/office/drawing/2014/main" id="{00000000-0008-0000-1200-00002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51</xdr:row>
          <xdr:rowOff>45720</xdr:rowOff>
        </xdr:from>
        <xdr:to>
          <xdr:col>12</xdr:col>
          <xdr:colOff>0</xdr:colOff>
          <xdr:row>51</xdr:row>
          <xdr:rowOff>297180</xdr:rowOff>
        </xdr:to>
        <xdr:sp macro="" textlink="">
          <xdr:nvSpPr>
            <xdr:cNvPr id="2274851" name="Check Box 547" hidden="1">
              <a:extLst>
                <a:ext uri="{63B3BB69-23CF-44E3-9099-C40C66FF867C}">
                  <a14:compatExt spid="_x0000_s2274851"/>
                </a:ext>
                <a:ext uri="{FF2B5EF4-FFF2-40B4-BE49-F238E27FC236}">
                  <a16:creationId xmlns:a16="http://schemas.microsoft.com/office/drawing/2014/main" id="{00000000-0008-0000-1200-00002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52</xdr:row>
          <xdr:rowOff>45720</xdr:rowOff>
        </xdr:from>
        <xdr:to>
          <xdr:col>12</xdr:col>
          <xdr:colOff>0</xdr:colOff>
          <xdr:row>52</xdr:row>
          <xdr:rowOff>297180</xdr:rowOff>
        </xdr:to>
        <xdr:sp macro="" textlink="">
          <xdr:nvSpPr>
            <xdr:cNvPr id="2274852" name="Check Box 548" hidden="1">
              <a:extLst>
                <a:ext uri="{63B3BB69-23CF-44E3-9099-C40C66FF867C}">
                  <a14:compatExt spid="_x0000_s2274852"/>
                </a:ext>
                <a:ext uri="{FF2B5EF4-FFF2-40B4-BE49-F238E27FC236}">
                  <a16:creationId xmlns:a16="http://schemas.microsoft.com/office/drawing/2014/main" id="{00000000-0008-0000-1200-00002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53</xdr:row>
          <xdr:rowOff>45720</xdr:rowOff>
        </xdr:from>
        <xdr:to>
          <xdr:col>12</xdr:col>
          <xdr:colOff>0</xdr:colOff>
          <xdr:row>53</xdr:row>
          <xdr:rowOff>297180</xdr:rowOff>
        </xdr:to>
        <xdr:sp macro="" textlink="">
          <xdr:nvSpPr>
            <xdr:cNvPr id="2274853" name="Check Box 549" hidden="1">
              <a:extLst>
                <a:ext uri="{63B3BB69-23CF-44E3-9099-C40C66FF867C}">
                  <a14:compatExt spid="_x0000_s2274853"/>
                </a:ext>
                <a:ext uri="{FF2B5EF4-FFF2-40B4-BE49-F238E27FC236}">
                  <a16:creationId xmlns:a16="http://schemas.microsoft.com/office/drawing/2014/main" id="{00000000-0008-0000-1200-00002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54</xdr:row>
          <xdr:rowOff>678180</xdr:rowOff>
        </xdr:from>
        <xdr:to>
          <xdr:col>12</xdr:col>
          <xdr:colOff>0</xdr:colOff>
          <xdr:row>54</xdr:row>
          <xdr:rowOff>922020</xdr:rowOff>
        </xdr:to>
        <xdr:sp macro="" textlink="">
          <xdr:nvSpPr>
            <xdr:cNvPr id="2274854" name="Check Box 550" hidden="1">
              <a:extLst>
                <a:ext uri="{63B3BB69-23CF-44E3-9099-C40C66FF867C}">
                  <a14:compatExt spid="_x0000_s2274854"/>
                </a:ext>
                <a:ext uri="{FF2B5EF4-FFF2-40B4-BE49-F238E27FC236}">
                  <a16:creationId xmlns:a16="http://schemas.microsoft.com/office/drawing/2014/main" id="{00000000-0008-0000-1200-00002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55</xdr:row>
          <xdr:rowOff>594360</xdr:rowOff>
        </xdr:from>
        <xdr:to>
          <xdr:col>12</xdr:col>
          <xdr:colOff>0</xdr:colOff>
          <xdr:row>55</xdr:row>
          <xdr:rowOff>845820</xdr:rowOff>
        </xdr:to>
        <xdr:sp macro="" textlink="">
          <xdr:nvSpPr>
            <xdr:cNvPr id="2274855" name="Check Box 551" hidden="1">
              <a:extLst>
                <a:ext uri="{63B3BB69-23CF-44E3-9099-C40C66FF867C}">
                  <a14:compatExt spid="_x0000_s2274855"/>
                </a:ext>
                <a:ext uri="{FF2B5EF4-FFF2-40B4-BE49-F238E27FC236}">
                  <a16:creationId xmlns:a16="http://schemas.microsoft.com/office/drawing/2014/main" id="{00000000-0008-0000-1200-000027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56</xdr:row>
          <xdr:rowOff>365760</xdr:rowOff>
        </xdr:from>
        <xdr:to>
          <xdr:col>12</xdr:col>
          <xdr:colOff>0</xdr:colOff>
          <xdr:row>56</xdr:row>
          <xdr:rowOff>609600</xdr:rowOff>
        </xdr:to>
        <xdr:sp macro="" textlink="">
          <xdr:nvSpPr>
            <xdr:cNvPr id="2274856" name="Check Box 552" hidden="1">
              <a:extLst>
                <a:ext uri="{63B3BB69-23CF-44E3-9099-C40C66FF867C}">
                  <a14:compatExt spid="_x0000_s2274856"/>
                </a:ext>
                <a:ext uri="{FF2B5EF4-FFF2-40B4-BE49-F238E27FC236}">
                  <a16:creationId xmlns:a16="http://schemas.microsoft.com/office/drawing/2014/main" id="{00000000-0008-0000-1200-00002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57</xdr:row>
          <xdr:rowOff>304800</xdr:rowOff>
        </xdr:from>
        <xdr:to>
          <xdr:col>12</xdr:col>
          <xdr:colOff>0</xdr:colOff>
          <xdr:row>57</xdr:row>
          <xdr:rowOff>563880</xdr:rowOff>
        </xdr:to>
        <xdr:sp macro="" textlink="">
          <xdr:nvSpPr>
            <xdr:cNvPr id="2274857" name="Check Box 553" hidden="1">
              <a:extLst>
                <a:ext uri="{63B3BB69-23CF-44E3-9099-C40C66FF867C}">
                  <a14:compatExt spid="_x0000_s2274857"/>
                </a:ext>
                <a:ext uri="{FF2B5EF4-FFF2-40B4-BE49-F238E27FC236}">
                  <a16:creationId xmlns:a16="http://schemas.microsoft.com/office/drawing/2014/main" id="{00000000-0008-0000-1200-00002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58</xdr:row>
          <xdr:rowOff>342900</xdr:rowOff>
        </xdr:from>
        <xdr:to>
          <xdr:col>12</xdr:col>
          <xdr:colOff>0</xdr:colOff>
          <xdr:row>58</xdr:row>
          <xdr:rowOff>579120</xdr:rowOff>
        </xdr:to>
        <xdr:sp macro="" textlink="">
          <xdr:nvSpPr>
            <xdr:cNvPr id="2274858" name="Check Box 554" hidden="1">
              <a:extLst>
                <a:ext uri="{63B3BB69-23CF-44E3-9099-C40C66FF867C}">
                  <a14:compatExt spid="_x0000_s2274858"/>
                </a:ext>
                <a:ext uri="{FF2B5EF4-FFF2-40B4-BE49-F238E27FC236}">
                  <a16:creationId xmlns:a16="http://schemas.microsoft.com/office/drawing/2014/main" id="{00000000-0008-0000-1200-00002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59</xdr:row>
          <xdr:rowOff>754380</xdr:rowOff>
        </xdr:from>
        <xdr:to>
          <xdr:col>12</xdr:col>
          <xdr:colOff>0</xdr:colOff>
          <xdr:row>59</xdr:row>
          <xdr:rowOff>1013460</xdr:rowOff>
        </xdr:to>
        <xdr:sp macro="" textlink="">
          <xdr:nvSpPr>
            <xdr:cNvPr id="2274859" name="Check Box 555" hidden="1">
              <a:extLst>
                <a:ext uri="{63B3BB69-23CF-44E3-9099-C40C66FF867C}">
                  <a14:compatExt spid="_x0000_s2274859"/>
                </a:ext>
                <a:ext uri="{FF2B5EF4-FFF2-40B4-BE49-F238E27FC236}">
                  <a16:creationId xmlns:a16="http://schemas.microsoft.com/office/drawing/2014/main" id="{00000000-0008-0000-1200-00002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60</xdr:row>
          <xdr:rowOff>876300</xdr:rowOff>
        </xdr:from>
        <xdr:to>
          <xdr:col>12</xdr:col>
          <xdr:colOff>0</xdr:colOff>
          <xdr:row>60</xdr:row>
          <xdr:rowOff>1135380</xdr:rowOff>
        </xdr:to>
        <xdr:sp macro="" textlink="">
          <xdr:nvSpPr>
            <xdr:cNvPr id="2274860" name="Check Box 556" hidden="1">
              <a:extLst>
                <a:ext uri="{63B3BB69-23CF-44E3-9099-C40C66FF867C}">
                  <a14:compatExt spid="_x0000_s2274860"/>
                </a:ext>
                <a:ext uri="{FF2B5EF4-FFF2-40B4-BE49-F238E27FC236}">
                  <a16:creationId xmlns:a16="http://schemas.microsoft.com/office/drawing/2014/main" id="{00000000-0008-0000-1200-00002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63</xdr:row>
          <xdr:rowOff>45720</xdr:rowOff>
        </xdr:from>
        <xdr:to>
          <xdr:col>12</xdr:col>
          <xdr:colOff>0</xdr:colOff>
          <xdr:row>63</xdr:row>
          <xdr:rowOff>297180</xdr:rowOff>
        </xdr:to>
        <xdr:sp macro="" textlink="">
          <xdr:nvSpPr>
            <xdr:cNvPr id="2274861" name="Check Box 557" hidden="1">
              <a:extLst>
                <a:ext uri="{63B3BB69-23CF-44E3-9099-C40C66FF867C}">
                  <a14:compatExt spid="_x0000_s2274861"/>
                </a:ext>
                <a:ext uri="{FF2B5EF4-FFF2-40B4-BE49-F238E27FC236}">
                  <a16:creationId xmlns:a16="http://schemas.microsoft.com/office/drawing/2014/main" id="{00000000-0008-0000-1200-00002D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64</xdr:row>
          <xdr:rowOff>670560</xdr:rowOff>
        </xdr:from>
        <xdr:to>
          <xdr:col>12</xdr:col>
          <xdr:colOff>0</xdr:colOff>
          <xdr:row>64</xdr:row>
          <xdr:rowOff>914400</xdr:rowOff>
        </xdr:to>
        <xdr:sp macro="" textlink="">
          <xdr:nvSpPr>
            <xdr:cNvPr id="2274862" name="Check Box 558" hidden="1">
              <a:extLst>
                <a:ext uri="{63B3BB69-23CF-44E3-9099-C40C66FF867C}">
                  <a14:compatExt spid="_x0000_s2274862"/>
                </a:ext>
                <a:ext uri="{FF2B5EF4-FFF2-40B4-BE49-F238E27FC236}">
                  <a16:creationId xmlns:a16="http://schemas.microsoft.com/office/drawing/2014/main" id="{00000000-0008-0000-1200-00002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65</xdr:row>
          <xdr:rowOff>45720</xdr:rowOff>
        </xdr:from>
        <xdr:to>
          <xdr:col>12</xdr:col>
          <xdr:colOff>0</xdr:colOff>
          <xdr:row>65</xdr:row>
          <xdr:rowOff>297180</xdr:rowOff>
        </xdr:to>
        <xdr:sp macro="" textlink="">
          <xdr:nvSpPr>
            <xdr:cNvPr id="2274863" name="Check Box 559" hidden="1">
              <a:extLst>
                <a:ext uri="{63B3BB69-23CF-44E3-9099-C40C66FF867C}">
                  <a14:compatExt spid="_x0000_s2274863"/>
                </a:ext>
                <a:ext uri="{FF2B5EF4-FFF2-40B4-BE49-F238E27FC236}">
                  <a16:creationId xmlns:a16="http://schemas.microsoft.com/office/drawing/2014/main" id="{00000000-0008-0000-1200-00002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66</xdr:row>
          <xdr:rowOff>45720</xdr:rowOff>
        </xdr:from>
        <xdr:to>
          <xdr:col>12</xdr:col>
          <xdr:colOff>0</xdr:colOff>
          <xdr:row>66</xdr:row>
          <xdr:rowOff>297180</xdr:rowOff>
        </xdr:to>
        <xdr:sp macro="" textlink="">
          <xdr:nvSpPr>
            <xdr:cNvPr id="2274864" name="Check Box 560" hidden="1">
              <a:extLst>
                <a:ext uri="{63B3BB69-23CF-44E3-9099-C40C66FF867C}">
                  <a14:compatExt spid="_x0000_s2274864"/>
                </a:ext>
                <a:ext uri="{FF2B5EF4-FFF2-40B4-BE49-F238E27FC236}">
                  <a16:creationId xmlns:a16="http://schemas.microsoft.com/office/drawing/2014/main" id="{00000000-0008-0000-1200-00003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67</xdr:row>
          <xdr:rowOff>45720</xdr:rowOff>
        </xdr:from>
        <xdr:to>
          <xdr:col>12</xdr:col>
          <xdr:colOff>0</xdr:colOff>
          <xdr:row>67</xdr:row>
          <xdr:rowOff>297180</xdr:rowOff>
        </xdr:to>
        <xdr:sp macro="" textlink="">
          <xdr:nvSpPr>
            <xdr:cNvPr id="2274865" name="Check Box 561" hidden="1">
              <a:extLst>
                <a:ext uri="{63B3BB69-23CF-44E3-9099-C40C66FF867C}">
                  <a14:compatExt spid="_x0000_s2274865"/>
                </a:ext>
                <a:ext uri="{FF2B5EF4-FFF2-40B4-BE49-F238E27FC236}">
                  <a16:creationId xmlns:a16="http://schemas.microsoft.com/office/drawing/2014/main" id="{00000000-0008-0000-1200-00003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68</xdr:row>
          <xdr:rowOff>45720</xdr:rowOff>
        </xdr:from>
        <xdr:to>
          <xdr:col>12</xdr:col>
          <xdr:colOff>0</xdr:colOff>
          <xdr:row>68</xdr:row>
          <xdr:rowOff>297180</xdr:rowOff>
        </xdr:to>
        <xdr:sp macro="" textlink="">
          <xdr:nvSpPr>
            <xdr:cNvPr id="2274866" name="Check Box 562" hidden="1">
              <a:extLst>
                <a:ext uri="{63B3BB69-23CF-44E3-9099-C40C66FF867C}">
                  <a14:compatExt spid="_x0000_s2274866"/>
                </a:ext>
                <a:ext uri="{FF2B5EF4-FFF2-40B4-BE49-F238E27FC236}">
                  <a16:creationId xmlns:a16="http://schemas.microsoft.com/office/drawing/2014/main" id="{00000000-0008-0000-1200-00003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69</xdr:row>
          <xdr:rowOff>45720</xdr:rowOff>
        </xdr:from>
        <xdr:to>
          <xdr:col>12</xdr:col>
          <xdr:colOff>0</xdr:colOff>
          <xdr:row>69</xdr:row>
          <xdr:rowOff>297180</xdr:rowOff>
        </xdr:to>
        <xdr:sp macro="" textlink="">
          <xdr:nvSpPr>
            <xdr:cNvPr id="2274867" name="Check Box 563" hidden="1">
              <a:extLst>
                <a:ext uri="{63B3BB69-23CF-44E3-9099-C40C66FF867C}">
                  <a14:compatExt spid="_x0000_s2274867"/>
                </a:ext>
                <a:ext uri="{FF2B5EF4-FFF2-40B4-BE49-F238E27FC236}">
                  <a16:creationId xmlns:a16="http://schemas.microsoft.com/office/drawing/2014/main" id="{00000000-0008-0000-1200-00003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70</xdr:row>
          <xdr:rowOff>579120</xdr:rowOff>
        </xdr:from>
        <xdr:to>
          <xdr:col>12</xdr:col>
          <xdr:colOff>0</xdr:colOff>
          <xdr:row>70</xdr:row>
          <xdr:rowOff>830580</xdr:rowOff>
        </xdr:to>
        <xdr:sp macro="" textlink="">
          <xdr:nvSpPr>
            <xdr:cNvPr id="2274868" name="Check Box 564" hidden="1">
              <a:extLst>
                <a:ext uri="{63B3BB69-23CF-44E3-9099-C40C66FF867C}">
                  <a14:compatExt spid="_x0000_s2274868"/>
                </a:ext>
                <a:ext uri="{FF2B5EF4-FFF2-40B4-BE49-F238E27FC236}">
                  <a16:creationId xmlns:a16="http://schemas.microsoft.com/office/drawing/2014/main" id="{00000000-0008-0000-1200-00003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71</xdr:row>
          <xdr:rowOff>45720</xdr:rowOff>
        </xdr:from>
        <xdr:to>
          <xdr:col>12</xdr:col>
          <xdr:colOff>0</xdr:colOff>
          <xdr:row>71</xdr:row>
          <xdr:rowOff>297180</xdr:rowOff>
        </xdr:to>
        <xdr:sp macro="" textlink="">
          <xdr:nvSpPr>
            <xdr:cNvPr id="2274869" name="Check Box 565" hidden="1">
              <a:extLst>
                <a:ext uri="{63B3BB69-23CF-44E3-9099-C40C66FF867C}">
                  <a14:compatExt spid="_x0000_s2274869"/>
                </a:ext>
                <a:ext uri="{FF2B5EF4-FFF2-40B4-BE49-F238E27FC236}">
                  <a16:creationId xmlns:a16="http://schemas.microsoft.com/office/drawing/2014/main" id="{00000000-0008-0000-1200-00003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72</xdr:row>
          <xdr:rowOff>45720</xdr:rowOff>
        </xdr:from>
        <xdr:to>
          <xdr:col>12</xdr:col>
          <xdr:colOff>0</xdr:colOff>
          <xdr:row>72</xdr:row>
          <xdr:rowOff>297180</xdr:rowOff>
        </xdr:to>
        <xdr:sp macro="" textlink="">
          <xdr:nvSpPr>
            <xdr:cNvPr id="2274870" name="Check Box 566" hidden="1">
              <a:extLst>
                <a:ext uri="{63B3BB69-23CF-44E3-9099-C40C66FF867C}">
                  <a14:compatExt spid="_x0000_s2274870"/>
                </a:ext>
                <a:ext uri="{FF2B5EF4-FFF2-40B4-BE49-F238E27FC236}">
                  <a16:creationId xmlns:a16="http://schemas.microsoft.com/office/drawing/2014/main" id="{00000000-0008-0000-1200-00003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73</xdr:row>
          <xdr:rowOff>45720</xdr:rowOff>
        </xdr:from>
        <xdr:to>
          <xdr:col>12</xdr:col>
          <xdr:colOff>0</xdr:colOff>
          <xdr:row>73</xdr:row>
          <xdr:rowOff>297180</xdr:rowOff>
        </xdr:to>
        <xdr:sp macro="" textlink="">
          <xdr:nvSpPr>
            <xdr:cNvPr id="2274871" name="Check Box 567" hidden="1">
              <a:extLst>
                <a:ext uri="{63B3BB69-23CF-44E3-9099-C40C66FF867C}">
                  <a14:compatExt spid="_x0000_s2274871"/>
                </a:ext>
                <a:ext uri="{FF2B5EF4-FFF2-40B4-BE49-F238E27FC236}">
                  <a16:creationId xmlns:a16="http://schemas.microsoft.com/office/drawing/2014/main" id="{00000000-0008-0000-1200-000037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74</xdr:row>
          <xdr:rowOff>45720</xdr:rowOff>
        </xdr:from>
        <xdr:to>
          <xdr:col>12</xdr:col>
          <xdr:colOff>0</xdr:colOff>
          <xdr:row>74</xdr:row>
          <xdr:rowOff>274320</xdr:rowOff>
        </xdr:to>
        <xdr:sp macro="" textlink="">
          <xdr:nvSpPr>
            <xdr:cNvPr id="2274872" name="Check Box 568" hidden="1">
              <a:extLst>
                <a:ext uri="{63B3BB69-23CF-44E3-9099-C40C66FF867C}">
                  <a14:compatExt spid="_x0000_s2274872"/>
                </a:ext>
                <a:ext uri="{FF2B5EF4-FFF2-40B4-BE49-F238E27FC236}">
                  <a16:creationId xmlns:a16="http://schemas.microsoft.com/office/drawing/2014/main" id="{00000000-0008-0000-1200-00003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76</xdr:row>
          <xdr:rowOff>45720</xdr:rowOff>
        </xdr:from>
        <xdr:to>
          <xdr:col>12</xdr:col>
          <xdr:colOff>0</xdr:colOff>
          <xdr:row>76</xdr:row>
          <xdr:rowOff>274320</xdr:rowOff>
        </xdr:to>
        <xdr:sp macro="" textlink="">
          <xdr:nvSpPr>
            <xdr:cNvPr id="2274873" name="Check Box 569" hidden="1">
              <a:extLst>
                <a:ext uri="{63B3BB69-23CF-44E3-9099-C40C66FF867C}">
                  <a14:compatExt spid="_x0000_s2274873"/>
                </a:ext>
                <a:ext uri="{FF2B5EF4-FFF2-40B4-BE49-F238E27FC236}">
                  <a16:creationId xmlns:a16="http://schemas.microsoft.com/office/drawing/2014/main" id="{00000000-0008-0000-1200-00003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77</xdr:row>
          <xdr:rowOff>45720</xdr:rowOff>
        </xdr:from>
        <xdr:to>
          <xdr:col>12</xdr:col>
          <xdr:colOff>0</xdr:colOff>
          <xdr:row>77</xdr:row>
          <xdr:rowOff>274320</xdr:rowOff>
        </xdr:to>
        <xdr:sp macro="" textlink="">
          <xdr:nvSpPr>
            <xdr:cNvPr id="2274874" name="Check Box 570" hidden="1">
              <a:extLst>
                <a:ext uri="{63B3BB69-23CF-44E3-9099-C40C66FF867C}">
                  <a14:compatExt spid="_x0000_s2274874"/>
                </a:ext>
                <a:ext uri="{FF2B5EF4-FFF2-40B4-BE49-F238E27FC236}">
                  <a16:creationId xmlns:a16="http://schemas.microsoft.com/office/drawing/2014/main" id="{00000000-0008-0000-1200-00003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78</xdr:row>
          <xdr:rowOff>45720</xdr:rowOff>
        </xdr:from>
        <xdr:to>
          <xdr:col>12</xdr:col>
          <xdr:colOff>0</xdr:colOff>
          <xdr:row>78</xdr:row>
          <xdr:rowOff>274320</xdr:rowOff>
        </xdr:to>
        <xdr:sp macro="" textlink="">
          <xdr:nvSpPr>
            <xdr:cNvPr id="2274875" name="Check Box 571" hidden="1">
              <a:extLst>
                <a:ext uri="{63B3BB69-23CF-44E3-9099-C40C66FF867C}">
                  <a14:compatExt spid="_x0000_s2274875"/>
                </a:ext>
                <a:ext uri="{FF2B5EF4-FFF2-40B4-BE49-F238E27FC236}">
                  <a16:creationId xmlns:a16="http://schemas.microsoft.com/office/drawing/2014/main" id="{00000000-0008-0000-1200-00003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79</xdr:row>
          <xdr:rowOff>45720</xdr:rowOff>
        </xdr:from>
        <xdr:to>
          <xdr:col>12</xdr:col>
          <xdr:colOff>0</xdr:colOff>
          <xdr:row>79</xdr:row>
          <xdr:rowOff>274320</xdr:rowOff>
        </xdr:to>
        <xdr:sp macro="" textlink="">
          <xdr:nvSpPr>
            <xdr:cNvPr id="2274876" name="Check Box 572" hidden="1">
              <a:extLst>
                <a:ext uri="{63B3BB69-23CF-44E3-9099-C40C66FF867C}">
                  <a14:compatExt spid="_x0000_s2274876"/>
                </a:ext>
                <a:ext uri="{FF2B5EF4-FFF2-40B4-BE49-F238E27FC236}">
                  <a16:creationId xmlns:a16="http://schemas.microsoft.com/office/drawing/2014/main" id="{00000000-0008-0000-1200-00003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80</xdr:row>
          <xdr:rowOff>45720</xdr:rowOff>
        </xdr:from>
        <xdr:to>
          <xdr:col>12</xdr:col>
          <xdr:colOff>0</xdr:colOff>
          <xdr:row>80</xdr:row>
          <xdr:rowOff>274320</xdr:rowOff>
        </xdr:to>
        <xdr:sp macro="" textlink="">
          <xdr:nvSpPr>
            <xdr:cNvPr id="2274877" name="Check Box 573" hidden="1">
              <a:extLst>
                <a:ext uri="{63B3BB69-23CF-44E3-9099-C40C66FF867C}">
                  <a14:compatExt spid="_x0000_s2274877"/>
                </a:ext>
                <a:ext uri="{FF2B5EF4-FFF2-40B4-BE49-F238E27FC236}">
                  <a16:creationId xmlns:a16="http://schemas.microsoft.com/office/drawing/2014/main" id="{00000000-0008-0000-1200-00003D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82</xdr:row>
          <xdr:rowOff>762000</xdr:rowOff>
        </xdr:from>
        <xdr:to>
          <xdr:col>12</xdr:col>
          <xdr:colOff>0</xdr:colOff>
          <xdr:row>82</xdr:row>
          <xdr:rowOff>998220</xdr:rowOff>
        </xdr:to>
        <xdr:sp macro="" textlink="">
          <xdr:nvSpPr>
            <xdr:cNvPr id="2274878" name="Check Box 574" hidden="1">
              <a:extLst>
                <a:ext uri="{63B3BB69-23CF-44E3-9099-C40C66FF867C}">
                  <a14:compatExt spid="_x0000_s2274878"/>
                </a:ext>
                <a:ext uri="{FF2B5EF4-FFF2-40B4-BE49-F238E27FC236}">
                  <a16:creationId xmlns:a16="http://schemas.microsoft.com/office/drawing/2014/main" id="{00000000-0008-0000-1200-00003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84</xdr:row>
          <xdr:rowOff>45720</xdr:rowOff>
        </xdr:from>
        <xdr:to>
          <xdr:col>12</xdr:col>
          <xdr:colOff>0</xdr:colOff>
          <xdr:row>84</xdr:row>
          <xdr:rowOff>274320</xdr:rowOff>
        </xdr:to>
        <xdr:sp macro="" textlink="">
          <xdr:nvSpPr>
            <xdr:cNvPr id="2274879" name="Check Box 575" hidden="1">
              <a:extLst>
                <a:ext uri="{63B3BB69-23CF-44E3-9099-C40C66FF867C}">
                  <a14:compatExt spid="_x0000_s2274879"/>
                </a:ext>
                <a:ext uri="{FF2B5EF4-FFF2-40B4-BE49-F238E27FC236}">
                  <a16:creationId xmlns:a16="http://schemas.microsoft.com/office/drawing/2014/main" id="{00000000-0008-0000-1200-00003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85</xdr:row>
          <xdr:rowOff>45720</xdr:rowOff>
        </xdr:from>
        <xdr:to>
          <xdr:col>12</xdr:col>
          <xdr:colOff>0</xdr:colOff>
          <xdr:row>85</xdr:row>
          <xdr:rowOff>274320</xdr:rowOff>
        </xdr:to>
        <xdr:sp macro="" textlink="">
          <xdr:nvSpPr>
            <xdr:cNvPr id="2274880" name="Check Box 576" hidden="1">
              <a:extLst>
                <a:ext uri="{63B3BB69-23CF-44E3-9099-C40C66FF867C}">
                  <a14:compatExt spid="_x0000_s2274880"/>
                </a:ext>
                <a:ext uri="{FF2B5EF4-FFF2-40B4-BE49-F238E27FC236}">
                  <a16:creationId xmlns:a16="http://schemas.microsoft.com/office/drawing/2014/main" id="{00000000-0008-0000-1200-00004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86</xdr:row>
          <xdr:rowOff>45720</xdr:rowOff>
        </xdr:from>
        <xdr:to>
          <xdr:col>12</xdr:col>
          <xdr:colOff>0</xdr:colOff>
          <xdr:row>86</xdr:row>
          <xdr:rowOff>274320</xdr:rowOff>
        </xdr:to>
        <xdr:sp macro="" textlink="">
          <xdr:nvSpPr>
            <xdr:cNvPr id="2274881" name="Check Box 577" hidden="1">
              <a:extLst>
                <a:ext uri="{63B3BB69-23CF-44E3-9099-C40C66FF867C}">
                  <a14:compatExt spid="_x0000_s2274881"/>
                </a:ext>
                <a:ext uri="{FF2B5EF4-FFF2-40B4-BE49-F238E27FC236}">
                  <a16:creationId xmlns:a16="http://schemas.microsoft.com/office/drawing/2014/main" id="{00000000-0008-0000-1200-00004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87</xdr:row>
          <xdr:rowOff>45720</xdr:rowOff>
        </xdr:from>
        <xdr:to>
          <xdr:col>12</xdr:col>
          <xdr:colOff>0</xdr:colOff>
          <xdr:row>87</xdr:row>
          <xdr:rowOff>274320</xdr:rowOff>
        </xdr:to>
        <xdr:sp macro="" textlink="">
          <xdr:nvSpPr>
            <xdr:cNvPr id="2274882" name="Check Box 578" hidden="1">
              <a:extLst>
                <a:ext uri="{63B3BB69-23CF-44E3-9099-C40C66FF867C}">
                  <a14:compatExt spid="_x0000_s2274882"/>
                </a:ext>
                <a:ext uri="{FF2B5EF4-FFF2-40B4-BE49-F238E27FC236}">
                  <a16:creationId xmlns:a16="http://schemas.microsoft.com/office/drawing/2014/main" id="{00000000-0008-0000-1200-00004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88</xdr:row>
          <xdr:rowOff>45720</xdr:rowOff>
        </xdr:from>
        <xdr:to>
          <xdr:col>12</xdr:col>
          <xdr:colOff>0</xdr:colOff>
          <xdr:row>88</xdr:row>
          <xdr:rowOff>274320</xdr:rowOff>
        </xdr:to>
        <xdr:sp macro="" textlink="">
          <xdr:nvSpPr>
            <xdr:cNvPr id="2274883" name="Check Box 579" hidden="1">
              <a:extLst>
                <a:ext uri="{63B3BB69-23CF-44E3-9099-C40C66FF867C}">
                  <a14:compatExt spid="_x0000_s2274883"/>
                </a:ext>
                <a:ext uri="{FF2B5EF4-FFF2-40B4-BE49-F238E27FC236}">
                  <a16:creationId xmlns:a16="http://schemas.microsoft.com/office/drawing/2014/main" id="{00000000-0008-0000-1200-00004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89</xdr:row>
          <xdr:rowOff>45720</xdr:rowOff>
        </xdr:from>
        <xdr:to>
          <xdr:col>12</xdr:col>
          <xdr:colOff>0</xdr:colOff>
          <xdr:row>89</xdr:row>
          <xdr:rowOff>274320</xdr:rowOff>
        </xdr:to>
        <xdr:sp macro="" textlink="">
          <xdr:nvSpPr>
            <xdr:cNvPr id="2274884" name="Check Box 580" hidden="1">
              <a:extLst>
                <a:ext uri="{63B3BB69-23CF-44E3-9099-C40C66FF867C}">
                  <a14:compatExt spid="_x0000_s2274884"/>
                </a:ext>
                <a:ext uri="{FF2B5EF4-FFF2-40B4-BE49-F238E27FC236}">
                  <a16:creationId xmlns:a16="http://schemas.microsoft.com/office/drawing/2014/main" id="{00000000-0008-0000-1200-00004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90</xdr:row>
          <xdr:rowOff>45720</xdr:rowOff>
        </xdr:from>
        <xdr:to>
          <xdr:col>12</xdr:col>
          <xdr:colOff>0</xdr:colOff>
          <xdr:row>90</xdr:row>
          <xdr:rowOff>274320</xdr:rowOff>
        </xdr:to>
        <xdr:sp macro="" textlink="">
          <xdr:nvSpPr>
            <xdr:cNvPr id="2274885" name="Check Box 581" hidden="1">
              <a:extLst>
                <a:ext uri="{63B3BB69-23CF-44E3-9099-C40C66FF867C}">
                  <a14:compatExt spid="_x0000_s2274885"/>
                </a:ext>
                <a:ext uri="{FF2B5EF4-FFF2-40B4-BE49-F238E27FC236}">
                  <a16:creationId xmlns:a16="http://schemas.microsoft.com/office/drawing/2014/main" id="{00000000-0008-0000-1200-00004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91</xdr:row>
          <xdr:rowOff>45720</xdr:rowOff>
        </xdr:from>
        <xdr:to>
          <xdr:col>12</xdr:col>
          <xdr:colOff>0</xdr:colOff>
          <xdr:row>91</xdr:row>
          <xdr:rowOff>274320</xdr:rowOff>
        </xdr:to>
        <xdr:sp macro="" textlink="">
          <xdr:nvSpPr>
            <xdr:cNvPr id="2274886" name="Check Box 582" hidden="1">
              <a:extLst>
                <a:ext uri="{63B3BB69-23CF-44E3-9099-C40C66FF867C}">
                  <a14:compatExt spid="_x0000_s2274886"/>
                </a:ext>
                <a:ext uri="{FF2B5EF4-FFF2-40B4-BE49-F238E27FC236}">
                  <a16:creationId xmlns:a16="http://schemas.microsoft.com/office/drawing/2014/main" id="{00000000-0008-0000-1200-00004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92</xdr:row>
          <xdr:rowOff>45720</xdr:rowOff>
        </xdr:from>
        <xdr:to>
          <xdr:col>12</xdr:col>
          <xdr:colOff>0</xdr:colOff>
          <xdr:row>92</xdr:row>
          <xdr:rowOff>274320</xdr:rowOff>
        </xdr:to>
        <xdr:sp macro="" textlink="">
          <xdr:nvSpPr>
            <xdr:cNvPr id="2274887" name="Check Box 583" hidden="1">
              <a:extLst>
                <a:ext uri="{63B3BB69-23CF-44E3-9099-C40C66FF867C}">
                  <a14:compatExt spid="_x0000_s2274887"/>
                </a:ext>
                <a:ext uri="{FF2B5EF4-FFF2-40B4-BE49-F238E27FC236}">
                  <a16:creationId xmlns:a16="http://schemas.microsoft.com/office/drawing/2014/main" id="{00000000-0008-0000-1200-000047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94</xdr:row>
          <xdr:rowOff>45720</xdr:rowOff>
        </xdr:from>
        <xdr:to>
          <xdr:col>12</xdr:col>
          <xdr:colOff>0</xdr:colOff>
          <xdr:row>94</xdr:row>
          <xdr:rowOff>274320</xdr:rowOff>
        </xdr:to>
        <xdr:sp macro="" textlink="">
          <xdr:nvSpPr>
            <xdr:cNvPr id="2274888" name="Check Box 584" hidden="1">
              <a:extLst>
                <a:ext uri="{63B3BB69-23CF-44E3-9099-C40C66FF867C}">
                  <a14:compatExt spid="_x0000_s2274888"/>
                </a:ext>
                <a:ext uri="{FF2B5EF4-FFF2-40B4-BE49-F238E27FC236}">
                  <a16:creationId xmlns:a16="http://schemas.microsoft.com/office/drawing/2014/main" id="{00000000-0008-0000-1200-00004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95</xdr:row>
          <xdr:rowOff>45720</xdr:rowOff>
        </xdr:from>
        <xdr:to>
          <xdr:col>12</xdr:col>
          <xdr:colOff>0</xdr:colOff>
          <xdr:row>95</xdr:row>
          <xdr:rowOff>274320</xdr:rowOff>
        </xdr:to>
        <xdr:sp macro="" textlink="">
          <xdr:nvSpPr>
            <xdr:cNvPr id="2274889" name="Check Box 585" hidden="1">
              <a:extLst>
                <a:ext uri="{63B3BB69-23CF-44E3-9099-C40C66FF867C}">
                  <a14:compatExt spid="_x0000_s2274889"/>
                </a:ext>
                <a:ext uri="{FF2B5EF4-FFF2-40B4-BE49-F238E27FC236}">
                  <a16:creationId xmlns:a16="http://schemas.microsoft.com/office/drawing/2014/main" id="{00000000-0008-0000-1200-00004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96</xdr:row>
          <xdr:rowOff>45720</xdr:rowOff>
        </xdr:from>
        <xdr:to>
          <xdr:col>12</xdr:col>
          <xdr:colOff>0</xdr:colOff>
          <xdr:row>96</xdr:row>
          <xdr:rowOff>274320</xdr:rowOff>
        </xdr:to>
        <xdr:sp macro="" textlink="">
          <xdr:nvSpPr>
            <xdr:cNvPr id="2274890" name="Check Box 586" hidden="1">
              <a:extLst>
                <a:ext uri="{63B3BB69-23CF-44E3-9099-C40C66FF867C}">
                  <a14:compatExt spid="_x0000_s2274890"/>
                </a:ext>
                <a:ext uri="{FF2B5EF4-FFF2-40B4-BE49-F238E27FC236}">
                  <a16:creationId xmlns:a16="http://schemas.microsoft.com/office/drawing/2014/main" id="{00000000-0008-0000-1200-00004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97</xdr:row>
          <xdr:rowOff>45720</xdr:rowOff>
        </xdr:from>
        <xdr:to>
          <xdr:col>12</xdr:col>
          <xdr:colOff>0</xdr:colOff>
          <xdr:row>97</xdr:row>
          <xdr:rowOff>274320</xdr:rowOff>
        </xdr:to>
        <xdr:sp macro="" textlink="">
          <xdr:nvSpPr>
            <xdr:cNvPr id="2274891" name="Check Box 587" hidden="1">
              <a:extLst>
                <a:ext uri="{63B3BB69-23CF-44E3-9099-C40C66FF867C}">
                  <a14:compatExt spid="_x0000_s2274891"/>
                </a:ext>
                <a:ext uri="{FF2B5EF4-FFF2-40B4-BE49-F238E27FC236}">
                  <a16:creationId xmlns:a16="http://schemas.microsoft.com/office/drawing/2014/main" id="{00000000-0008-0000-1200-00004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98</xdr:row>
          <xdr:rowOff>45720</xdr:rowOff>
        </xdr:from>
        <xdr:to>
          <xdr:col>12</xdr:col>
          <xdr:colOff>0</xdr:colOff>
          <xdr:row>98</xdr:row>
          <xdr:rowOff>274320</xdr:rowOff>
        </xdr:to>
        <xdr:sp macro="" textlink="">
          <xdr:nvSpPr>
            <xdr:cNvPr id="2274892" name="Check Box 588" hidden="1">
              <a:extLst>
                <a:ext uri="{63B3BB69-23CF-44E3-9099-C40C66FF867C}">
                  <a14:compatExt spid="_x0000_s2274892"/>
                </a:ext>
                <a:ext uri="{FF2B5EF4-FFF2-40B4-BE49-F238E27FC236}">
                  <a16:creationId xmlns:a16="http://schemas.microsoft.com/office/drawing/2014/main" id="{00000000-0008-0000-1200-00004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99</xdr:row>
          <xdr:rowOff>731520</xdr:rowOff>
        </xdr:from>
        <xdr:to>
          <xdr:col>12</xdr:col>
          <xdr:colOff>0</xdr:colOff>
          <xdr:row>99</xdr:row>
          <xdr:rowOff>960120</xdr:rowOff>
        </xdr:to>
        <xdr:sp macro="" textlink="">
          <xdr:nvSpPr>
            <xdr:cNvPr id="2274893" name="Check Box 589" hidden="1">
              <a:extLst>
                <a:ext uri="{63B3BB69-23CF-44E3-9099-C40C66FF867C}">
                  <a14:compatExt spid="_x0000_s2274893"/>
                </a:ext>
                <a:ext uri="{FF2B5EF4-FFF2-40B4-BE49-F238E27FC236}">
                  <a16:creationId xmlns:a16="http://schemas.microsoft.com/office/drawing/2014/main" id="{00000000-0008-0000-1200-00004D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101</xdr:row>
          <xdr:rowOff>45720</xdr:rowOff>
        </xdr:from>
        <xdr:to>
          <xdr:col>12</xdr:col>
          <xdr:colOff>0</xdr:colOff>
          <xdr:row>101</xdr:row>
          <xdr:rowOff>274320</xdr:rowOff>
        </xdr:to>
        <xdr:sp macro="" textlink="">
          <xdr:nvSpPr>
            <xdr:cNvPr id="2274894" name="Check Box 590" hidden="1">
              <a:extLst>
                <a:ext uri="{63B3BB69-23CF-44E3-9099-C40C66FF867C}">
                  <a14:compatExt spid="_x0000_s2274894"/>
                </a:ext>
                <a:ext uri="{FF2B5EF4-FFF2-40B4-BE49-F238E27FC236}">
                  <a16:creationId xmlns:a16="http://schemas.microsoft.com/office/drawing/2014/main" id="{00000000-0008-0000-1200-00004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102</xdr:row>
          <xdr:rowOff>45720</xdr:rowOff>
        </xdr:from>
        <xdr:to>
          <xdr:col>12</xdr:col>
          <xdr:colOff>0</xdr:colOff>
          <xdr:row>102</xdr:row>
          <xdr:rowOff>274320</xdr:rowOff>
        </xdr:to>
        <xdr:sp macro="" textlink="">
          <xdr:nvSpPr>
            <xdr:cNvPr id="2274895" name="Check Box 591" hidden="1">
              <a:extLst>
                <a:ext uri="{63B3BB69-23CF-44E3-9099-C40C66FF867C}">
                  <a14:compatExt spid="_x0000_s2274895"/>
                </a:ext>
                <a:ext uri="{FF2B5EF4-FFF2-40B4-BE49-F238E27FC236}">
                  <a16:creationId xmlns:a16="http://schemas.microsoft.com/office/drawing/2014/main" id="{00000000-0008-0000-1200-00004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103</xdr:row>
          <xdr:rowOff>800100</xdr:rowOff>
        </xdr:from>
        <xdr:to>
          <xdr:col>12</xdr:col>
          <xdr:colOff>0</xdr:colOff>
          <xdr:row>103</xdr:row>
          <xdr:rowOff>1036320</xdr:rowOff>
        </xdr:to>
        <xdr:sp macro="" textlink="">
          <xdr:nvSpPr>
            <xdr:cNvPr id="2274896" name="Check Box 592" hidden="1">
              <a:extLst>
                <a:ext uri="{63B3BB69-23CF-44E3-9099-C40C66FF867C}">
                  <a14:compatExt spid="_x0000_s2274896"/>
                </a:ext>
                <a:ext uri="{FF2B5EF4-FFF2-40B4-BE49-F238E27FC236}">
                  <a16:creationId xmlns:a16="http://schemas.microsoft.com/office/drawing/2014/main" id="{00000000-0008-0000-1200-00005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104</xdr:row>
          <xdr:rowOff>746760</xdr:rowOff>
        </xdr:from>
        <xdr:to>
          <xdr:col>12</xdr:col>
          <xdr:colOff>0</xdr:colOff>
          <xdr:row>104</xdr:row>
          <xdr:rowOff>960120</xdr:rowOff>
        </xdr:to>
        <xdr:sp macro="" textlink="">
          <xdr:nvSpPr>
            <xdr:cNvPr id="2274897" name="Check Box 593" hidden="1">
              <a:extLst>
                <a:ext uri="{63B3BB69-23CF-44E3-9099-C40C66FF867C}">
                  <a14:compatExt spid="_x0000_s2274897"/>
                </a:ext>
                <a:ext uri="{FF2B5EF4-FFF2-40B4-BE49-F238E27FC236}">
                  <a16:creationId xmlns:a16="http://schemas.microsoft.com/office/drawing/2014/main" id="{00000000-0008-0000-1200-00005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106</xdr:row>
          <xdr:rowOff>830580</xdr:rowOff>
        </xdr:from>
        <xdr:to>
          <xdr:col>12</xdr:col>
          <xdr:colOff>0</xdr:colOff>
          <xdr:row>106</xdr:row>
          <xdr:rowOff>1059180</xdr:rowOff>
        </xdr:to>
        <xdr:sp macro="" textlink="">
          <xdr:nvSpPr>
            <xdr:cNvPr id="2274898" name="Check Box 594" hidden="1">
              <a:extLst>
                <a:ext uri="{63B3BB69-23CF-44E3-9099-C40C66FF867C}">
                  <a14:compatExt spid="_x0000_s2274898"/>
                </a:ext>
                <a:ext uri="{FF2B5EF4-FFF2-40B4-BE49-F238E27FC236}">
                  <a16:creationId xmlns:a16="http://schemas.microsoft.com/office/drawing/2014/main" id="{00000000-0008-0000-1200-00005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107</xdr:row>
          <xdr:rowOff>45720</xdr:rowOff>
        </xdr:from>
        <xdr:to>
          <xdr:col>12</xdr:col>
          <xdr:colOff>0</xdr:colOff>
          <xdr:row>107</xdr:row>
          <xdr:rowOff>274320</xdr:rowOff>
        </xdr:to>
        <xdr:sp macro="" textlink="">
          <xdr:nvSpPr>
            <xdr:cNvPr id="2274899" name="Check Box 595" hidden="1">
              <a:extLst>
                <a:ext uri="{63B3BB69-23CF-44E3-9099-C40C66FF867C}">
                  <a14:compatExt spid="_x0000_s2274899"/>
                </a:ext>
                <a:ext uri="{FF2B5EF4-FFF2-40B4-BE49-F238E27FC236}">
                  <a16:creationId xmlns:a16="http://schemas.microsoft.com/office/drawing/2014/main" id="{00000000-0008-0000-1200-00005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108</xdr:row>
          <xdr:rowOff>45720</xdr:rowOff>
        </xdr:from>
        <xdr:to>
          <xdr:col>12</xdr:col>
          <xdr:colOff>0</xdr:colOff>
          <xdr:row>108</xdr:row>
          <xdr:rowOff>274320</xdr:rowOff>
        </xdr:to>
        <xdr:sp macro="" textlink="">
          <xdr:nvSpPr>
            <xdr:cNvPr id="2274900" name="Check Box 596" hidden="1">
              <a:extLst>
                <a:ext uri="{63B3BB69-23CF-44E3-9099-C40C66FF867C}">
                  <a14:compatExt spid="_x0000_s2274900"/>
                </a:ext>
                <a:ext uri="{FF2B5EF4-FFF2-40B4-BE49-F238E27FC236}">
                  <a16:creationId xmlns:a16="http://schemas.microsoft.com/office/drawing/2014/main" id="{00000000-0008-0000-1200-00005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109</xdr:row>
          <xdr:rowOff>45720</xdr:rowOff>
        </xdr:from>
        <xdr:to>
          <xdr:col>12</xdr:col>
          <xdr:colOff>0</xdr:colOff>
          <xdr:row>109</xdr:row>
          <xdr:rowOff>274320</xdr:rowOff>
        </xdr:to>
        <xdr:sp macro="" textlink="">
          <xdr:nvSpPr>
            <xdr:cNvPr id="2274901" name="Check Box 597" hidden="1">
              <a:extLst>
                <a:ext uri="{63B3BB69-23CF-44E3-9099-C40C66FF867C}">
                  <a14:compatExt spid="_x0000_s2274901"/>
                </a:ext>
                <a:ext uri="{FF2B5EF4-FFF2-40B4-BE49-F238E27FC236}">
                  <a16:creationId xmlns:a16="http://schemas.microsoft.com/office/drawing/2014/main" id="{00000000-0008-0000-1200-00005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110</xdr:row>
          <xdr:rowOff>45720</xdr:rowOff>
        </xdr:from>
        <xdr:to>
          <xdr:col>12</xdr:col>
          <xdr:colOff>0</xdr:colOff>
          <xdr:row>110</xdr:row>
          <xdr:rowOff>274320</xdr:rowOff>
        </xdr:to>
        <xdr:sp macro="" textlink="">
          <xdr:nvSpPr>
            <xdr:cNvPr id="2274902" name="Check Box 598" hidden="1">
              <a:extLst>
                <a:ext uri="{63B3BB69-23CF-44E3-9099-C40C66FF867C}">
                  <a14:compatExt spid="_x0000_s2274902"/>
                </a:ext>
                <a:ext uri="{FF2B5EF4-FFF2-40B4-BE49-F238E27FC236}">
                  <a16:creationId xmlns:a16="http://schemas.microsoft.com/office/drawing/2014/main" id="{00000000-0008-0000-1200-00005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111</xdr:row>
          <xdr:rowOff>45720</xdr:rowOff>
        </xdr:from>
        <xdr:to>
          <xdr:col>12</xdr:col>
          <xdr:colOff>0</xdr:colOff>
          <xdr:row>111</xdr:row>
          <xdr:rowOff>274320</xdr:rowOff>
        </xdr:to>
        <xdr:sp macro="" textlink="">
          <xdr:nvSpPr>
            <xdr:cNvPr id="2274903" name="Check Box 599" hidden="1">
              <a:extLst>
                <a:ext uri="{63B3BB69-23CF-44E3-9099-C40C66FF867C}">
                  <a14:compatExt spid="_x0000_s2274903"/>
                </a:ext>
                <a:ext uri="{FF2B5EF4-FFF2-40B4-BE49-F238E27FC236}">
                  <a16:creationId xmlns:a16="http://schemas.microsoft.com/office/drawing/2014/main" id="{00000000-0008-0000-1200-000057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112</xdr:row>
          <xdr:rowOff>45720</xdr:rowOff>
        </xdr:from>
        <xdr:to>
          <xdr:col>12</xdr:col>
          <xdr:colOff>0</xdr:colOff>
          <xdr:row>112</xdr:row>
          <xdr:rowOff>274320</xdr:rowOff>
        </xdr:to>
        <xdr:sp macro="" textlink="">
          <xdr:nvSpPr>
            <xdr:cNvPr id="2274904" name="Check Box 600" hidden="1">
              <a:extLst>
                <a:ext uri="{63B3BB69-23CF-44E3-9099-C40C66FF867C}">
                  <a14:compatExt spid="_x0000_s2274904"/>
                </a:ext>
                <a:ext uri="{FF2B5EF4-FFF2-40B4-BE49-F238E27FC236}">
                  <a16:creationId xmlns:a16="http://schemas.microsoft.com/office/drawing/2014/main" id="{00000000-0008-0000-1200-00005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113</xdr:row>
          <xdr:rowOff>45720</xdr:rowOff>
        </xdr:from>
        <xdr:to>
          <xdr:col>12</xdr:col>
          <xdr:colOff>0</xdr:colOff>
          <xdr:row>113</xdr:row>
          <xdr:rowOff>274320</xdr:rowOff>
        </xdr:to>
        <xdr:sp macro="" textlink="">
          <xdr:nvSpPr>
            <xdr:cNvPr id="2274905" name="Check Box 601" hidden="1">
              <a:extLst>
                <a:ext uri="{63B3BB69-23CF-44E3-9099-C40C66FF867C}">
                  <a14:compatExt spid="_x0000_s2274905"/>
                </a:ext>
                <a:ext uri="{FF2B5EF4-FFF2-40B4-BE49-F238E27FC236}">
                  <a16:creationId xmlns:a16="http://schemas.microsoft.com/office/drawing/2014/main" id="{00000000-0008-0000-1200-00005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114</xdr:row>
          <xdr:rowOff>45720</xdr:rowOff>
        </xdr:from>
        <xdr:to>
          <xdr:col>12</xdr:col>
          <xdr:colOff>0</xdr:colOff>
          <xdr:row>114</xdr:row>
          <xdr:rowOff>274320</xdr:rowOff>
        </xdr:to>
        <xdr:sp macro="" textlink="">
          <xdr:nvSpPr>
            <xdr:cNvPr id="2274906" name="Check Box 602" hidden="1">
              <a:extLst>
                <a:ext uri="{63B3BB69-23CF-44E3-9099-C40C66FF867C}">
                  <a14:compatExt spid="_x0000_s2274906"/>
                </a:ext>
                <a:ext uri="{FF2B5EF4-FFF2-40B4-BE49-F238E27FC236}">
                  <a16:creationId xmlns:a16="http://schemas.microsoft.com/office/drawing/2014/main" id="{00000000-0008-0000-1200-00005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46</xdr:row>
          <xdr:rowOff>373380</xdr:rowOff>
        </xdr:from>
        <xdr:to>
          <xdr:col>10</xdr:col>
          <xdr:colOff>0</xdr:colOff>
          <xdr:row>47</xdr:row>
          <xdr:rowOff>1036320</xdr:rowOff>
        </xdr:to>
        <xdr:sp macro="" textlink="">
          <xdr:nvSpPr>
            <xdr:cNvPr id="2274910" name="GB721" hidden="1">
              <a:extLst>
                <a:ext uri="{63B3BB69-23CF-44E3-9099-C40C66FF867C}">
                  <a14:compatExt spid="_x0000_s2274910"/>
                </a:ext>
                <a:ext uri="{FF2B5EF4-FFF2-40B4-BE49-F238E27FC236}">
                  <a16:creationId xmlns:a16="http://schemas.microsoft.com/office/drawing/2014/main" id="{00000000-0008-0000-1200-00005EB6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46</xdr:row>
          <xdr:rowOff>76200</xdr:rowOff>
        </xdr:from>
        <xdr:to>
          <xdr:col>12</xdr:col>
          <xdr:colOff>0</xdr:colOff>
          <xdr:row>46</xdr:row>
          <xdr:rowOff>304800</xdr:rowOff>
        </xdr:to>
        <xdr:sp macro="" textlink="">
          <xdr:nvSpPr>
            <xdr:cNvPr id="2274911" name="Check Box 607" hidden="1">
              <a:extLst>
                <a:ext uri="{63B3BB69-23CF-44E3-9099-C40C66FF867C}">
                  <a14:compatExt spid="_x0000_s2274911"/>
                </a:ext>
                <a:ext uri="{FF2B5EF4-FFF2-40B4-BE49-F238E27FC236}">
                  <a16:creationId xmlns:a16="http://schemas.microsoft.com/office/drawing/2014/main" id="{00000000-0008-0000-1200-00005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46</xdr:row>
          <xdr:rowOff>68580</xdr:rowOff>
        </xdr:from>
        <xdr:to>
          <xdr:col>10</xdr:col>
          <xdr:colOff>0</xdr:colOff>
          <xdr:row>46</xdr:row>
          <xdr:rowOff>365760</xdr:rowOff>
        </xdr:to>
        <xdr:sp macro="" textlink="">
          <xdr:nvSpPr>
            <xdr:cNvPr id="2274912" name="GB711" hidden="1">
              <a:extLst>
                <a:ext uri="{63B3BB69-23CF-44E3-9099-C40C66FF867C}">
                  <a14:compatExt spid="_x0000_s2274912"/>
                </a:ext>
                <a:ext uri="{FF2B5EF4-FFF2-40B4-BE49-F238E27FC236}">
                  <a16:creationId xmlns:a16="http://schemas.microsoft.com/office/drawing/2014/main" id="{00000000-0008-0000-1200-000060B6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GB711</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300990</xdr:colOff>
      <xdr:row>0</xdr:row>
      <xdr:rowOff>106680</xdr:rowOff>
    </xdr:from>
    <xdr:to>
      <xdr:col>18</xdr:col>
      <xdr:colOff>118</xdr:colOff>
      <xdr:row>35</xdr:row>
      <xdr:rowOff>160020</xdr:rowOff>
    </xdr:to>
    <xdr:sp macro="" textlink="">
      <xdr:nvSpPr>
        <xdr:cNvPr id="4098" name="Text Box 2">
          <a:extLst>
            <a:ext uri="{FF2B5EF4-FFF2-40B4-BE49-F238E27FC236}">
              <a16:creationId xmlns:a16="http://schemas.microsoft.com/office/drawing/2014/main" id="{00000000-0008-0000-1500-000002100000}"/>
            </a:ext>
          </a:extLst>
        </xdr:cNvPr>
        <xdr:cNvSpPr txBox="1">
          <a:spLocks noChangeArrowheads="1"/>
        </xdr:cNvSpPr>
      </xdr:nvSpPr>
      <xdr:spPr bwMode="auto">
        <a:xfrm>
          <a:off x="3970020" y="106680"/>
          <a:ext cx="6332220" cy="5996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defRPr sz="1000"/>
          </a:pPr>
          <a:r>
            <a:rPr lang="ja-JP" altLang="en-US" sz="1100" b="0" i="0" u="none" strike="noStrike" baseline="0">
              <a:solidFill>
                <a:srgbClr val="FF0000"/>
              </a:solidFill>
              <a:latin typeface="ＭＳ Ｐゴシック"/>
              <a:ea typeface="ＭＳ Ｐゴシック"/>
            </a:rPr>
            <a:t>　　</a:t>
          </a:r>
        </a:p>
        <a:p>
          <a:pPr algn="l" rtl="0">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戸建（新築） 評価ソフト </a:t>
          </a:r>
          <a:r>
            <a:rPr lang="en-US" altLang="ja-JP" sz="1100" b="0" i="0" u="none" strike="noStrike" baseline="0">
              <a:solidFill>
                <a:srgbClr val="000000"/>
              </a:solidFill>
              <a:latin typeface="ＭＳ Ｐゴシック"/>
              <a:ea typeface="ＭＳ Ｐゴシック"/>
            </a:rPr>
            <a:t>2025</a:t>
          </a:r>
          <a:r>
            <a:rPr lang="ja-JP" altLang="en-US" sz="1100" b="0" i="0" u="none" strike="noStrike" baseline="0">
              <a:solidFill>
                <a:srgbClr val="000000"/>
              </a:solidFill>
              <a:latin typeface="ＭＳ Ｐゴシック"/>
              <a:ea typeface="ＭＳ Ｐゴシック"/>
            </a:rPr>
            <a:t>年版</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 版</a:t>
          </a:r>
        </a:p>
        <a:p>
          <a:pPr algn="l" rtl="0">
            <a:defRPr sz="1000"/>
          </a:pPr>
          <a:r>
            <a:rPr lang="ja-JP" altLang="en-US" sz="1100" b="0" i="0" u="none" strike="noStrike" baseline="0">
              <a:solidFill>
                <a:sysClr val="windowText" lastClr="000000"/>
              </a:solidFill>
              <a:latin typeface="ＭＳ Ｐゴシック"/>
              <a:ea typeface="ＭＳ Ｐゴシック"/>
            </a:rPr>
            <a:t>       CASBEE</a:t>
          </a: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DH</a:t>
          </a:r>
          <a:r>
            <a:rPr lang="en-US" altLang="ja-JP" sz="1100" b="0" i="0" u="none" strike="noStrike" baseline="0">
              <a:solidFill>
                <a:sysClr val="windowText" lastClr="000000"/>
              </a:solidFill>
              <a:latin typeface="ＭＳ Ｐゴシック"/>
              <a:ea typeface="ＭＳ Ｐゴシック"/>
            </a:rPr>
            <a:t>_</a:t>
          </a:r>
          <a:r>
            <a:rPr lang="ja-JP" altLang="en-US" sz="1100" b="0" i="0" u="none" strike="noStrike" baseline="0">
              <a:solidFill>
                <a:sysClr val="windowText" lastClr="000000"/>
              </a:solidFill>
              <a:latin typeface="ＭＳ Ｐゴシック"/>
              <a:ea typeface="ＭＳ Ｐゴシック"/>
            </a:rPr>
            <a:t>NC_20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v</a:t>
          </a:r>
          <a:r>
            <a:rPr lang="en-US" altLang="ja-JP" sz="1100" b="0" i="0" u="none" strike="noStrike" baseline="0">
              <a:solidFill>
                <a:sysClr val="windowText" lastClr="000000"/>
              </a:solidFill>
              <a:latin typeface="ＭＳ Ｐゴシック"/>
              <a:ea typeface="ＭＳ Ｐゴシック"/>
            </a:rPr>
            <a:t>1.0</a:t>
          </a:r>
          <a:endParaRPr lang="ja-JP" altLang="en-US"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20</a:t>
          </a:r>
          <a:r>
            <a:rPr lang="en-US" altLang="ja-JP" sz="1100" b="0" i="0" u="none" strike="noStrike" baseline="0">
              <a:solidFill>
                <a:sysClr val="windowText" lastClr="000000"/>
              </a:solidFill>
              <a:latin typeface="ＭＳ Ｐゴシック"/>
              <a:ea typeface="ＭＳ Ｐゴシック"/>
            </a:rPr>
            <a:t>24</a:t>
          </a:r>
          <a:r>
            <a:rPr lang="ja-JP" altLang="en-US" sz="1100" b="0" i="0" u="none" strike="noStrike" baseline="0">
              <a:solidFill>
                <a:sysClr val="windowText" lastClr="000000"/>
              </a:solidFill>
              <a:latin typeface="ＭＳ Ｐゴシック"/>
              <a:ea typeface="ＭＳ Ｐゴシック"/>
            </a:rPr>
            <a:t>年 </a:t>
          </a:r>
          <a:r>
            <a:rPr lang="en-US" altLang="ja-JP" sz="1100" b="0" i="0" u="none" strike="noStrike" baseline="0">
              <a:solidFill>
                <a:sysClr val="windowText" lastClr="000000"/>
              </a:solidFill>
              <a:latin typeface="ＭＳ Ｐゴシック"/>
              <a:ea typeface="ＭＳ Ｐゴシック"/>
            </a:rPr>
            <a:t>12</a:t>
          </a:r>
          <a:r>
            <a:rPr lang="ja-JP" altLang="en-US" sz="1100" b="0" i="0" u="none" strike="noStrike" baseline="0">
              <a:solidFill>
                <a:sysClr val="windowText" lastClr="000000"/>
              </a:solidFill>
              <a:latin typeface="ＭＳ Ｐゴシック"/>
              <a:ea typeface="ＭＳ Ｐゴシック"/>
            </a:rPr>
            <a:t>月発行</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r>
            <a:rPr lang="ja-JP" altLang="en-US" sz="1000" b="0" i="0" u="none" strike="noStrike" baseline="0">
              <a:solidFill>
                <a:srgbClr val="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a:t>
          </a:r>
          <a:r>
            <a:rPr lang="en-US" altLang="ja-JP" sz="1100" b="0" i="0" u="none" strike="noStrike" baseline="0">
              <a:solidFill>
                <a:srgbClr val="000000"/>
              </a:solidFill>
              <a:latin typeface="ＭＳ Ｐゴシック"/>
              <a:ea typeface="ＭＳ Ｐゴシック"/>
            </a:rPr>
            <a:t>E-mail</a:t>
          </a:r>
          <a:r>
            <a:rPr lang="ja-JP" altLang="en-US" sz="1100" b="0" i="0" u="none" strike="noStrike" baseline="0">
              <a:solidFill>
                <a:srgbClr val="000000"/>
              </a:solidFill>
              <a:latin typeface="ＭＳ Ｐゴシック"/>
              <a:ea typeface="ＭＳ Ｐゴシック"/>
            </a:rPr>
            <a:t>にてお送りください。</a:t>
          </a:r>
        </a:p>
        <a:p>
          <a:pPr algn="l" rtl="0">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a:t>
          </a:r>
          <a:r>
            <a:rPr lang="en-US" altLang="ja-JP" sz="1100" b="0" i="0" u="none" strike="noStrike" baseline="0">
              <a:solidFill>
                <a:srgbClr val="000000"/>
              </a:solidFill>
              <a:latin typeface="ＭＳ Ｐゴシック"/>
              <a:ea typeface="ＭＳ Ｐゴシック"/>
            </a:rPr>
            <a:t>Microsoft Windows</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Microsoft Excel 2019 </a:t>
          </a:r>
          <a:r>
            <a:rPr lang="ja-JP" altLang="en-US" sz="1100" b="0" i="0" u="none" strike="noStrike" baseline="0">
              <a:solidFill>
                <a:srgbClr val="000000"/>
              </a:solidFill>
              <a:latin typeface="ＭＳ Ｐゴシック"/>
              <a:ea typeface="ＭＳ Ｐゴシック"/>
            </a:rPr>
            <a:t>等の操作に関しては、</a:t>
          </a:r>
        </a:p>
        <a:p>
          <a:pPr algn="l" rtl="0">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E-Mail  casbee-info@ibec.or.jp</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URL</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Copyright ©2025 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34290</xdr:colOff>
      <xdr:row>0</xdr:row>
      <xdr:rowOff>106680</xdr:rowOff>
    </xdr:from>
    <xdr:to>
      <xdr:col>7</xdr:col>
      <xdr:colOff>167681</xdr:colOff>
      <xdr:row>35</xdr:row>
      <xdr:rowOff>160020</xdr:rowOff>
    </xdr:to>
    <xdr:sp macro="" textlink="">
      <xdr:nvSpPr>
        <xdr:cNvPr id="4099" name="Text Box 3">
          <a:extLst>
            <a:ext uri="{FF2B5EF4-FFF2-40B4-BE49-F238E27FC236}">
              <a16:creationId xmlns:a16="http://schemas.microsoft.com/office/drawing/2014/main" id="{00000000-0008-0000-1500-000003100000}"/>
            </a:ext>
          </a:extLst>
        </xdr:cNvPr>
        <xdr:cNvSpPr txBox="1">
          <a:spLocks noChangeArrowheads="1"/>
        </xdr:cNvSpPr>
      </xdr:nvSpPr>
      <xdr:spPr bwMode="auto">
        <a:xfrm>
          <a:off x="99060" y="106680"/>
          <a:ext cx="3749040" cy="5996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1) Microsoft 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ysClr val="windowText" lastClr="000000"/>
              </a:solidFill>
              <a:latin typeface="ＭＳ Ｐゴシック"/>
              <a:ea typeface="ＭＳ Ｐゴシック"/>
            </a:rPr>
            <a:t>は、米国Microsoft </a:t>
          </a:r>
          <a:r>
            <a:rPr lang="ja-JP" altLang="en-US" sz="1100" b="0" i="0" u="none" strike="noStrike" baseline="0">
              <a:solidFill>
                <a:srgbClr val="000000"/>
              </a:solidFill>
              <a:latin typeface="ＭＳ Ｐゴシック"/>
              <a:ea typeface="ＭＳ Ｐゴシック"/>
            </a:rPr>
            <a:t>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戸建（新築）評価ソフト」は</a:t>
          </a:r>
          <a:r>
            <a:rPr lang="ja-JP" altLang="en-US" sz="1100" b="0" i="0" u="none" strike="noStrike" baseline="0">
              <a:solidFill>
                <a:sysClr val="windowText" lastClr="000000"/>
              </a:solidFill>
              <a:latin typeface="ＭＳ Ｐゴシック"/>
              <a:ea typeface="ＭＳ Ｐゴシック"/>
            </a:rPr>
            <a:t>、Microsoft Excel </a:t>
          </a:r>
          <a:r>
            <a:rPr lang="en-US" altLang="ja-JP" sz="1100" b="0" i="0" u="none" strike="noStrike" baseline="0">
              <a:solidFill>
                <a:sysClr val="windowText" lastClr="000000"/>
              </a:solidFill>
              <a:latin typeface="ＭＳ Ｐゴシック"/>
              <a:ea typeface="ＭＳ Ｐゴシック"/>
            </a:rPr>
            <a:t>2019</a:t>
          </a:r>
          <a:r>
            <a:rPr lang="ja-JP" altLang="en-US" sz="1100" b="0" i="0" u="none" strike="noStrike" baseline="0">
              <a:solidFill>
                <a:sysClr val="windowText" lastClr="000000"/>
              </a:solidFill>
              <a:latin typeface="ＭＳ Ｐゴシック"/>
              <a:ea typeface="ＭＳ Ｐゴシック"/>
            </a:rPr>
            <a:t>上で開発されたデータファイルです。これらのデータファイルは、著作権法上の保護を受けて</a:t>
          </a:r>
          <a:r>
            <a:rPr lang="ja-JP" altLang="en-US" sz="1100" b="0" i="0" u="none" strike="noStrike" baseline="0">
              <a:solidFill>
                <a:srgbClr val="000000"/>
              </a:solidFill>
              <a:latin typeface="ＭＳ Ｐゴシック"/>
              <a:ea typeface="ＭＳ Ｐゴシック"/>
            </a:rPr>
            <a:t>います。開発・著者、企画・発行者の許諾を得ず、無断で複製、転載(改造した場合も含む）することは禁止されております。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a:t>
          </a:r>
          <a:r>
            <a:rPr lang="ja-JP" altLang="en-US" sz="1100" b="0" i="0" u="none" strike="noStrike" baseline="0">
              <a:solidFill>
                <a:sysClr val="windowText" lastClr="000000"/>
              </a:solidFill>
              <a:latin typeface="ＭＳ Ｐゴシック"/>
              <a:ea typeface="ＭＳ Ｐゴシック"/>
            </a:rPr>
            <a:t>ソフトは Microsoft 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ysClr val="windowText" lastClr="000000"/>
              </a:solidFill>
              <a:latin typeface="ＭＳ Ｐゴシック"/>
              <a:ea typeface="ＭＳ Ｐゴシック"/>
            </a:rPr>
            <a:t>で</a:t>
          </a:r>
          <a:r>
            <a:rPr lang="ja-JP" altLang="en-US" sz="1100" b="0" i="0" u="none" strike="noStrike" baseline="0">
              <a:solidFill>
                <a:srgbClr val="000000"/>
              </a:solidFill>
              <a:latin typeface="ＭＳ Ｐゴシック"/>
              <a:ea typeface="ＭＳ Ｐゴシック"/>
            </a:rPr>
            <a:t>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300990</xdr:colOff>
      <xdr:row>0</xdr:row>
      <xdr:rowOff>106680</xdr:rowOff>
    </xdr:from>
    <xdr:to>
      <xdr:col>18</xdr:col>
      <xdr:colOff>118</xdr:colOff>
      <xdr:row>35</xdr:row>
      <xdr:rowOff>160020</xdr:rowOff>
    </xdr:to>
    <xdr:sp macro="" textlink="">
      <xdr:nvSpPr>
        <xdr:cNvPr id="2" name="Text Box 2">
          <a:extLst>
            <a:ext uri="{FF2B5EF4-FFF2-40B4-BE49-F238E27FC236}">
              <a16:creationId xmlns:a16="http://schemas.microsoft.com/office/drawing/2014/main" id="{E75CAD13-1910-440B-B338-7A8318585211}"/>
            </a:ext>
          </a:extLst>
        </xdr:cNvPr>
        <xdr:cNvSpPr txBox="1">
          <a:spLocks noChangeArrowheads="1"/>
        </xdr:cNvSpPr>
      </xdr:nvSpPr>
      <xdr:spPr bwMode="auto">
        <a:xfrm>
          <a:off x="3977640" y="104775"/>
          <a:ext cx="6299953" cy="613410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defRPr sz="1000"/>
          </a:pPr>
          <a:r>
            <a:rPr lang="ja-JP" altLang="en-US" sz="1100" b="0" i="0" u="none" strike="noStrike" baseline="0">
              <a:solidFill>
                <a:srgbClr val="FF0000"/>
              </a:solidFill>
              <a:latin typeface="ＭＳ Ｐゴシック"/>
              <a:ea typeface="ＭＳ Ｐゴシック"/>
            </a:rPr>
            <a:t>　　</a:t>
          </a:r>
        </a:p>
        <a:p>
          <a:pPr algn="l" rtl="0">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低層集合 評価ソフト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年試行版</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 版</a:t>
          </a:r>
        </a:p>
        <a:p>
          <a:pPr algn="l" rtl="0">
            <a:defRPr sz="1000"/>
          </a:pPr>
          <a:r>
            <a:rPr lang="ja-JP" altLang="en-US" sz="1100" b="0" i="0" u="none" strike="noStrike" baseline="0">
              <a:solidFill>
                <a:sysClr val="windowText" lastClr="000000"/>
              </a:solidFill>
              <a:latin typeface="ＭＳ Ｐゴシック"/>
              <a:ea typeface="ＭＳ Ｐゴシック"/>
            </a:rPr>
            <a:t>       CASBEE</a:t>
          </a:r>
          <a:r>
            <a:rPr lang="en-US" altLang="ja-JP" sz="1100" b="0" i="0" u="none" strike="noStrike" baseline="0">
              <a:solidFill>
                <a:sysClr val="windowText" lastClr="000000"/>
              </a:solidFill>
              <a:latin typeface="ＭＳ Ｐゴシック"/>
              <a:ea typeface="ＭＳ Ｐゴシック"/>
            </a:rPr>
            <a:t>-A</a:t>
          </a:r>
          <a:r>
            <a:rPr lang="ja-JP" altLang="en-US" sz="1100" b="0" i="0" u="none" strike="noStrike" baseline="0">
              <a:solidFill>
                <a:sysClr val="windowText" lastClr="000000"/>
              </a:solidFill>
              <a:latin typeface="ＭＳ Ｐゴシック"/>
              <a:ea typeface="ＭＳ Ｐゴシック"/>
            </a:rPr>
            <a:t>H</a:t>
          </a:r>
          <a:r>
            <a:rPr lang="en-US" altLang="ja-JP" sz="1100" b="0" i="0" u="none" strike="noStrike" baseline="0">
              <a:solidFill>
                <a:sysClr val="windowText" lastClr="000000"/>
              </a:solidFill>
              <a:latin typeface="ＭＳ Ｐゴシック"/>
              <a:ea typeface="ＭＳ Ｐゴシック"/>
            </a:rPr>
            <a:t>_</a:t>
          </a:r>
          <a:r>
            <a:rPr lang="ja-JP" altLang="en-US" sz="1100" b="0" i="0" u="none" strike="noStrike" baseline="0">
              <a:solidFill>
                <a:sysClr val="windowText" lastClr="000000"/>
              </a:solidFill>
              <a:latin typeface="ＭＳ Ｐゴシック"/>
              <a:ea typeface="ＭＳ Ｐゴシック"/>
            </a:rPr>
            <a:t>NC_20</a:t>
          </a:r>
          <a:r>
            <a:rPr lang="en-US" altLang="ja-JP" sz="1100" b="0" i="0" u="none" strike="noStrike" baseline="0">
              <a:solidFill>
                <a:sysClr val="windowText" lastClr="000000"/>
              </a:solidFill>
              <a:latin typeface="ＭＳ Ｐゴシック"/>
              <a:ea typeface="ＭＳ Ｐゴシック"/>
            </a:rPr>
            <a:t>24</a:t>
          </a:r>
          <a:r>
            <a:rPr lang="ja-JP" altLang="en-US" sz="1100" b="0" i="0" u="none" strike="noStrike" baseline="0">
              <a:solidFill>
                <a:sysClr val="windowText" lastClr="000000"/>
              </a:solidFill>
              <a:latin typeface="ＭＳ Ｐゴシック"/>
              <a:ea typeface="ＭＳ Ｐゴシック"/>
            </a:rPr>
            <a:t>試行版v</a:t>
          </a:r>
          <a:r>
            <a:rPr lang="en-US" altLang="ja-JP" sz="1100" b="0" i="0" u="none" strike="noStrike" baseline="0">
              <a:solidFill>
                <a:sysClr val="windowText" lastClr="000000"/>
              </a:solidFill>
              <a:latin typeface="ＭＳ Ｐゴシック"/>
              <a:ea typeface="ＭＳ Ｐゴシック"/>
            </a:rPr>
            <a:t>1.0</a:t>
          </a:r>
          <a:endParaRPr lang="ja-JP" altLang="en-US"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20</a:t>
          </a:r>
          <a:r>
            <a:rPr lang="en-US" altLang="ja-JP" sz="1100" b="0" i="0" u="none" strike="noStrike" baseline="0">
              <a:solidFill>
                <a:sysClr val="windowText" lastClr="000000"/>
              </a:solidFill>
              <a:latin typeface="ＭＳ Ｐゴシック"/>
              <a:ea typeface="ＭＳ Ｐゴシック"/>
            </a:rPr>
            <a:t>24</a:t>
          </a:r>
          <a:r>
            <a:rPr lang="ja-JP" altLang="en-US" sz="1100" b="0" i="0" u="none" strike="noStrike" baseline="0">
              <a:solidFill>
                <a:sysClr val="windowText" lastClr="000000"/>
              </a:solidFill>
              <a:latin typeface="ＭＳ Ｐゴシック"/>
              <a:ea typeface="ＭＳ Ｐゴシック"/>
            </a:rPr>
            <a:t>年 </a:t>
          </a:r>
          <a:r>
            <a:rPr lang="en-US" altLang="ja-JP" sz="1100" b="0" i="0" u="none" strike="noStrike" baseline="0">
              <a:solidFill>
                <a:sysClr val="windowText" lastClr="000000"/>
              </a:solidFill>
              <a:latin typeface="ＭＳ Ｐゴシック"/>
              <a:ea typeface="ＭＳ Ｐゴシック"/>
            </a:rPr>
            <a:t>12</a:t>
          </a:r>
          <a:r>
            <a:rPr lang="ja-JP" altLang="en-US" sz="1100" b="0" i="0" u="none" strike="noStrike" baseline="0">
              <a:solidFill>
                <a:sysClr val="windowText" lastClr="000000"/>
              </a:solidFill>
              <a:latin typeface="ＭＳ Ｐゴシック"/>
              <a:ea typeface="ＭＳ Ｐゴシック"/>
            </a:rPr>
            <a:t>月発行</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r>
            <a:rPr lang="ja-JP" altLang="en-US" sz="1000" b="0" i="0" u="none" strike="noStrike" baseline="0">
              <a:solidFill>
                <a:srgbClr val="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a:t>
          </a:r>
          <a:r>
            <a:rPr lang="en-US" altLang="ja-JP" sz="1100" b="0" i="0" u="none" strike="noStrike" baseline="0">
              <a:solidFill>
                <a:srgbClr val="000000"/>
              </a:solidFill>
              <a:latin typeface="ＭＳ Ｐゴシック"/>
              <a:ea typeface="ＭＳ Ｐゴシック"/>
            </a:rPr>
            <a:t>E-mail</a:t>
          </a:r>
          <a:r>
            <a:rPr lang="ja-JP" altLang="en-US" sz="1100" b="0" i="0" u="none" strike="noStrike" baseline="0">
              <a:solidFill>
                <a:srgbClr val="000000"/>
              </a:solidFill>
              <a:latin typeface="ＭＳ Ｐゴシック"/>
              <a:ea typeface="ＭＳ Ｐゴシック"/>
            </a:rPr>
            <a:t>にてお送りください。</a:t>
          </a:r>
        </a:p>
        <a:p>
          <a:pPr algn="l" rtl="0">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a:t>
          </a:r>
          <a:r>
            <a:rPr lang="en-US" altLang="ja-JP" sz="1100" b="0" i="0" u="none" strike="noStrike" baseline="0">
              <a:solidFill>
                <a:srgbClr val="000000"/>
              </a:solidFill>
              <a:latin typeface="ＭＳ Ｐゴシック"/>
              <a:ea typeface="ＭＳ Ｐゴシック"/>
            </a:rPr>
            <a:t>Microsoft Windows</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Microsoft Excel 2019 </a:t>
          </a:r>
          <a:r>
            <a:rPr lang="ja-JP" altLang="en-US" sz="1100" b="0" i="0" u="none" strike="noStrike" baseline="0">
              <a:solidFill>
                <a:srgbClr val="000000"/>
              </a:solidFill>
              <a:latin typeface="ＭＳ Ｐゴシック"/>
              <a:ea typeface="ＭＳ Ｐゴシック"/>
            </a:rPr>
            <a:t>等の操作に関しては、</a:t>
          </a:r>
        </a:p>
        <a:p>
          <a:pPr algn="l" rtl="0">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E-Mail  casbee-info@ibec.or.jp</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URL</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Copyright ©2024 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34290</xdr:colOff>
      <xdr:row>0</xdr:row>
      <xdr:rowOff>106680</xdr:rowOff>
    </xdr:from>
    <xdr:to>
      <xdr:col>7</xdr:col>
      <xdr:colOff>167681</xdr:colOff>
      <xdr:row>35</xdr:row>
      <xdr:rowOff>160020</xdr:rowOff>
    </xdr:to>
    <xdr:sp macro="" textlink="">
      <xdr:nvSpPr>
        <xdr:cNvPr id="3" name="Text Box 3">
          <a:extLst>
            <a:ext uri="{FF2B5EF4-FFF2-40B4-BE49-F238E27FC236}">
              <a16:creationId xmlns:a16="http://schemas.microsoft.com/office/drawing/2014/main" id="{63CA8C03-D3CF-4B4A-B115-CE4DBCB53369}"/>
            </a:ext>
          </a:extLst>
        </xdr:cNvPr>
        <xdr:cNvSpPr txBox="1">
          <a:spLocks noChangeArrowheads="1"/>
        </xdr:cNvSpPr>
      </xdr:nvSpPr>
      <xdr:spPr bwMode="auto">
        <a:xfrm>
          <a:off x="110490" y="104775"/>
          <a:ext cx="3737651" cy="613410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1) Microsoft 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ysClr val="windowText" lastClr="000000"/>
              </a:solidFill>
              <a:latin typeface="ＭＳ Ｐゴシック"/>
              <a:ea typeface="ＭＳ Ｐゴシック"/>
            </a:rPr>
            <a:t>は、米国Microsoft </a:t>
          </a:r>
          <a:r>
            <a:rPr lang="ja-JP" altLang="en-US" sz="1100" b="0" i="0" u="none" strike="noStrike" baseline="0">
              <a:solidFill>
                <a:srgbClr val="000000"/>
              </a:solidFill>
              <a:latin typeface="ＭＳ Ｐゴシック"/>
              <a:ea typeface="ＭＳ Ｐゴシック"/>
            </a:rPr>
            <a:t>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低層集合 評価ソフト」は</a:t>
          </a:r>
          <a:r>
            <a:rPr lang="ja-JP" altLang="en-US" sz="1100" b="0" i="0" u="none" strike="noStrike" baseline="0">
              <a:solidFill>
                <a:sysClr val="windowText" lastClr="000000"/>
              </a:solidFill>
              <a:latin typeface="ＭＳ Ｐゴシック"/>
              <a:ea typeface="ＭＳ Ｐゴシック"/>
            </a:rPr>
            <a:t>、Microsoft Excel </a:t>
          </a:r>
          <a:r>
            <a:rPr lang="en-US" altLang="ja-JP" sz="1100" b="0" i="0" u="none" strike="noStrike" baseline="0">
              <a:solidFill>
                <a:sysClr val="windowText" lastClr="000000"/>
              </a:solidFill>
              <a:latin typeface="ＭＳ Ｐゴシック"/>
              <a:ea typeface="ＭＳ Ｐゴシック"/>
            </a:rPr>
            <a:t>2019</a:t>
          </a:r>
          <a:r>
            <a:rPr lang="ja-JP" altLang="en-US" sz="1100" b="0" i="0" u="none" strike="noStrike" baseline="0">
              <a:solidFill>
                <a:sysClr val="windowText" lastClr="000000"/>
              </a:solidFill>
              <a:latin typeface="ＭＳ Ｐゴシック"/>
              <a:ea typeface="ＭＳ Ｐゴシック"/>
            </a:rPr>
            <a:t>上で開発されたデータファイルです。これらのデータファイルは、著作権法上の保護を受けて</a:t>
          </a:r>
          <a:r>
            <a:rPr lang="ja-JP" altLang="en-US" sz="1100" b="0" i="0" u="none" strike="noStrike" baseline="0">
              <a:solidFill>
                <a:srgbClr val="000000"/>
              </a:solidFill>
              <a:latin typeface="ＭＳ Ｐゴシック"/>
              <a:ea typeface="ＭＳ Ｐゴシック"/>
            </a:rPr>
            <a:t>います。開発・著者、企画・発行者の許諾を得ず、無断で複製、転載(改造した場合も含む）することは禁止されております。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a:t>
          </a:r>
          <a:r>
            <a:rPr lang="ja-JP" altLang="en-US" sz="1100" b="0" i="0" u="none" strike="noStrike" baseline="0">
              <a:solidFill>
                <a:sysClr val="windowText" lastClr="000000"/>
              </a:solidFill>
              <a:latin typeface="ＭＳ Ｐゴシック"/>
              <a:ea typeface="ＭＳ Ｐゴシック"/>
            </a:rPr>
            <a:t>ソフトは Microsoft 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ysClr val="windowText" lastClr="000000"/>
              </a:solidFill>
              <a:latin typeface="ＭＳ Ｐゴシック"/>
              <a:ea typeface="ＭＳ Ｐゴシック"/>
            </a:rPr>
            <a:t>で</a:t>
          </a:r>
          <a:r>
            <a:rPr lang="ja-JP" altLang="en-US" sz="1100" b="0" i="0" u="none" strike="noStrike" baseline="0">
              <a:solidFill>
                <a:srgbClr val="000000"/>
              </a:solidFill>
              <a:latin typeface="ＭＳ Ｐゴシック"/>
              <a:ea typeface="ＭＳ Ｐゴシック"/>
            </a:rPr>
            <a:t>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1066800</xdr:colOff>
      <xdr:row>51</xdr:row>
      <xdr:rowOff>133350</xdr:rowOff>
    </xdr:from>
    <xdr:to>
      <xdr:col>14</xdr:col>
      <xdr:colOff>647700</xdr:colOff>
      <xdr:row>59</xdr:row>
      <xdr:rowOff>161925</xdr:rowOff>
    </xdr:to>
    <xdr:graphicFrame macro="">
      <xdr:nvGraphicFramePr>
        <xdr:cNvPr id="5925892" name="Chart 1">
          <a:extLst>
            <a:ext uri="{FF2B5EF4-FFF2-40B4-BE49-F238E27FC236}">
              <a16:creationId xmlns:a16="http://schemas.microsoft.com/office/drawing/2014/main" id="{00000000-0008-0000-0800-000004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51</xdr:row>
      <xdr:rowOff>133350</xdr:rowOff>
    </xdr:from>
    <xdr:to>
      <xdr:col>10</xdr:col>
      <xdr:colOff>885825</xdr:colOff>
      <xdr:row>59</xdr:row>
      <xdr:rowOff>190500</xdr:rowOff>
    </xdr:to>
    <xdr:graphicFrame macro="">
      <xdr:nvGraphicFramePr>
        <xdr:cNvPr id="5925893" name="Chart 2">
          <a:extLst>
            <a:ext uri="{FF2B5EF4-FFF2-40B4-BE49-F238E27FC236}">
              <a16:creationId xmlns:a16="http://schemas.microsoft.com/office/drawing/2014/main" id="{00000000-0008-0000-0800-000005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51</xdr:row>
      <xdr:rowOff>114300</xdr:rowOff>
    </xdr:from>
    <xdr:to>
      <xdr:col>6</xdr:col>
      <xdr:colOff>466725</xdr:colOff>
      <xdr:row>59</xdr:row>
      <xdr:rowOff>180975</xdr:rowOff>
    </xdr:to>
    <xdr:graphicFrame macro="">
      <xdr:nvGraphicFramePr>
        <xdr:cNvPr id="5925894" name="Chart 3">
          <a:extLst>
            <a:ext uri="{FF2B5EF4-FFF2-40B4-BE49-F238E27FC236}">
              <a16:creationId xmlns:a16="http://schemas.microsoft.com/office/drawing/2014/main" id="{00000000-0008-0000-0800-000006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40</xdr:row>
      <xdr:rowOff>114300</xdr:rowOff>
    </xdr:from>
    <xdr:to>
      <xdr:col>6</xdr:col>
      <xdr:colOff>447675</xdr:colOff>
      <xdr:row>48</xdr:row>
      <xdr:rowOff>133350</xdr:rowOff>
    </xdr:to>
    <xdr:graphicFrame macro="">
      <xdr:nvGraphicFramePr>
        <xdr:cNvPr id="5925895" name="Chart 4">
          <a:extLst>
            <a:ext uri="{FF2B5EF4-FFF2-40B4-BE49-F238E27FC236}">
              <a16:creationId xmlns:a16="http://schemas.microsoft.com/office/drawing/2014/main" id="{00000000-0008-0000-0800-000007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1076325</xdr:colOff>
      <xdr:row>40</xdr:row>
      <xdr:rowOff>104775</xdr:rowOff>
    </xdr:from>
    <xdr:to>
      <xdr:col>14</xdr:col>
      <xdr:colOff>647700</xdr:colOff>
      <xdr:row>49</xdr:row>
      <xdr:rowOff>38100</xdr:rowOff>
    </xdr:to>
    <xdr:graphicFrame macro="">
      <xdr:nvGraphicFramePr>
        <xdr:cNvPr id="5925896" name="Chart 5">
          <a:extLst>
            <a:ext uri="{FF2B5EF4-FFF2-40B4-BE49-F238E27FC236}">
              <a16:creationId xmlns:a16="http://schemas.microsoft.com/office/drawing/2014/main" id="{00000000-0008-0000-0800-000008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28575</xdr:colOff>
      <xdr:row>40</xdr:row>
      <xdr:rowOff>95250</xdr:rowOff>
    </xdr:from>
    <xdr:to>
      <xdr:col>10</xdr:col>
      <xdr:colOff>866775</xdr:colOff>
      <xdr:row>49</xdr:row>
      <xdr:rowOff>0</xdr:rowOff>
    </xdr:to>
    <xdr:graphicFrame macro="">
      <xdr:nvGraphicFramePr>
        <xdr:cNvPr id="5925897" name="Chart 7">
          <a:extLst>
            <a:ext uri="{FF2B5EF4-FFF2-40B4-BE49-F238E27FC236}">
              <a16:creationId xmlns:a16="http://schemas.microsoft.com/office/drawing/2014/main" id="{00000000-0008-0000-0800-000009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editAs="absolute">
    <xdr:from>
      <xdr:col>1</xdr:col>
      <xdr:colOff>135254</xdr:colOff>
      <xdr:row>25</xdr:row>
      <xdr:rowOff>0</xdr:rowOff>
    </xdr:from>
    <xdr:to>
      <xdr:col>6</xdr:col>
      <xdr:colOff>396854</xdr:colOff>
      <xdr:row>37</xdr:row>
      <xdr:rowOff>34290</xdr:rowOff>
    </xdr:to>
    <xdr:graphicFrame macro="">
      <xdr:nvGraphicFramePr>
        <xdr:cNvPr id="5925898" name="Chart 9">
          <a:extLst>
            <a:ext uri="{FF2B5EF4-FFF2-40B4-BE49-F238E27FC236}">
              <a16:creationId xmlns:a16="http://schemas.microsoft.com/office/drawing/2014/main" id="{00000000-0008-0000-0800-00000A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45720</xdr:colOff>
      <xdr:row>23</xdr:row>
      <xdr:rowOff>152400</xdr:rowOff>
    </xdr:from>
    <xdr:to>
      <xdr:col>7</xdr:col>
      <xdr:colOff>7640</xdr:colOff>
      <xdr:row>24</xdr:row>
      <xdr:rowOff>182880</xdr:rowOff>
    </xdr:to>
    <xdr:sp macro="" textlink="">
      <xdr:nvSpPr>
        <xdr:cNvPr id="247856" name="Text Box 48">
          <a:extLst>
            <a:ext uri="{FF2B5EF4-FFF2-40B4-BE49-F238E27FC236}">
              <a16:creationId xmlns:a16="http://schemas.microsoft.com/office/drawing/2014/main" id="{00000000-0008-0000-0800-000030C80300}"/>
            </a:ext>
          </a:extLst>
        </xdr:cNvPr>
        <xdr:cNvSpPr txBox="1">
          <a:spLocks noChangeArrowheads="1"/>
        </xdr:cNvSpPr>
      </xdr:nvSpPr>
      <xdr:spPr bwMode="auto">
        <a:xfrm>
          <a:off x="106680" y="4358640"/>
          <a:ext cx="2979420" cy="220980"/>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000" b="0" i="0" strike="noStrike">
              <a:solidFill>
                <a:srgbClr val="000000"/>
              </a:solidFill>
              <a:latin typeface="ＭＳ Ｐゴシック"/>
              <a:ea typeface="ＭＳ Ｐゴシック"/>
            </a:rPr>
            <a:t>S: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A: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C: </a:t>
          </a:r>
          <a:r>
            <a:rPr lang="en-US" altLang="ja-JP" sz="1000" b="0" i="0" strike="noStrike">
              <a:solidFill>
                <a:srgbClr val="333333"/>
              </a:solidFill>
              <a:latin typeface="ＭＳ Ｐゴシック"/>
              <a:ea typeface="ＭＳ Ｐゴシック"/>
            </a:rPr>
            <a:t>★</a:t>
          </a:r>
        </a:p>
      </xdr:txBody>
    </xdr:sp>
    <xdr:clientData/>
  </xdr:twoCellAnchor>
  <xdr:twoCellAnchor>
    <xdr:from>
      <xdr:col>2</xdr:col>
      <xdr:colOff>581024</xdr:colOff>
      <xdr:row>20</xdr:row>
      <xdr:rowOff>161926</xdr:rowOff>
    </xdr:from>
    <xdr:to>
      <xdr:col>7</xdr:col>
      <xdr:colOff>66674</xdr:colOff>
      <xdr:row>24</xdr:row>
      <xdr:rowOff>66676</xdr:rowOff>
    </xdr:to>
    <xdr:graphicFrame macro="">
      <xdr:nvGraphicFramePr>
        <xdr:cNvPr id="5925900" name="Chart 49">
          <a:extLst>
            <a:ext uri="{FF2B5EF4-FFF2-40B4-BE49-F238E27FC236}">
              <a16:creationId xmlns:a16="http://schemas.microsoft.com/office/drawing/2014/main" id="{00000000-0008-0000-0800-00000C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428625</xdr:colOff>
      <xdr:row>1</xdr:row>
      <xdr:rowOff>57150</xdr:rowOff>
    </xdr:from>
    <xdr:to>
      <xdr:col>14</xdr:col>
      <xdr:colOff>733425</xdr:colOff>
      <xdr:row>3</xdr:row>
      <xdr:rowOff>114300</xdr:rowOff>
    </xdr:to>
    <xdr:pic>
      <xdr:nvPicPr>
        <xdr:cNvPr id="5925901" name="Picture 70">
          <a:extLst>
            <a:ext uri="{FF2B5EF4-FFF2-40B4-BE49-F238E27FC236}">
              <a16:creationId xmlns:a16="http://schemas.microsoft.com/office/drawing/2014/main" id="{00000000-0008-0000-0800-00000D6C5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9884" t="27533" b="27725"/>
        <a:stretch>
          <a:fillRect/>
        </a:stretch>
      </xdr:blipFill>
      <xdr:spPr bwMode="auto">
        <a:xfrm>
          <a:off x="7219950" y="133350"/>
          <a:ext cx="2762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87630</xdr:colOff>
      <xdr:row>51</xdr:row>
      <xdr:rowOff>0</xdr:rowOff>
    </xdr:from>
    <xdr:ext cx="845040" cy="206467"/>
    <xdr:sp macro="" textlink="">
      <xdr:nvSpPr>
        <xdr:cNvPr id="247886" name="Text Box 78">
          <a:extLst>
            <a:ext uri="{FF2B5EF4-FFF2-40B4-BE49-F238E27FC236}">
              <a16:creationId xmlns:a16="http://schemas.microsoft.com/office/drawing/2014/main" id="{00000000-0008-0000-0800-00004EC80300}"/>
            </a:ext>
          </a:extLst>
        </xdr:cNvPr>
        <xdr:cNvSpPr txBox="1">
          <a:spLocks noChangeArrowheads="1"/>
        </xdr:cNvSpPr>
      </xdr:nvSpPr>
      <xdr:spPr bwMode="auto">
        <a:xfrm>
          <a:off x="8517255" y="9829800"/>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179070</xdr:colOff>
      <xdr:row>40</xdr:row>
      <xdr:rowOff>0</xdr:rowOff>
    </xdr:from>
    <xdr:ext cx="779957" cy="206467"/>
    <xdr:sp macro="" textlink="">
      <xdr:nvSpPr>
        <xdr:cNvPr id="247887" name="Text Box 79">
          <a:extLst>
            <a:ext uri="{FF2B5EF4-FFF2-40B4-BE49-F238E27FC236}">
              <a16:creationId xmlns:a16="http://schemas.microsoft.com/office/drawing/2014/main" id="{00000000-0008-0000-0800-00004FC80300}"/>
            </a:ext>
          </a:extLst>
        </xdr:cNvPr>
        <xdr:cNvSpPr txBox="1">
          <a:spLocks noChangeArrowheads="1"/>
        </xdr:cNvSpPr>
      </xdr:nvSpPr>
      <xdr:spPr bwMode="auto">
        <a:xfrm>
          <a:off x="860869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558165</xdr:colOff>
      <xdr:row>40</xdr:row>
      <xdr:rowOff>0</xdr:rowOff>
    </xdr:from>
    <xdr:ext cx="779957" cy="206467"/>
    <xdr:sp macro="" textlink="">
      <xdr:nvSpPr>
        <xdr:cNvPr id="247888" name="Text Box 80">
          <a:extLst>
            <a:ext uri="{FF2B5EF4-FFF2-40B4-BE49-F238E27FC236}">
              <a16:creationId xmlns:a16="http://schemas.microsoft.com/office/drawing/2014/main" id="{00000000-0008-0000-0800-000050C80300}"/>
            </a:ext>
          </a:extLst>
        </xdr:cNvPr>
        <xdr:cNvSpPr txBox="1">
          <a:spLocks noChangeArrowheads="1"/>
        </xdr:cNvSpPr>
      </xdr:nvSpPr>
      <xdr:spPr bwMode="auto">
        <a:xfrm>
          <a:off x="518731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481965</xdr:colOff>
      <xdr:row>50</xdr:row>
      <xdr:rowOff>169545</xdr:rowOff>
    </xdr:from>
    <xdr:ext cx="845040" cy="206467"/>
    <xdr:sp macro="" textlink="">
      <xdr:nvSpPr>
        <xdr:cNvPr id="247889" name="Text Box 81">
          <a:extLst>
            <a:ext uri="{FF2B5EF4-FFF2-40B4-BE49-F238E27FC236}">
              <a16:creationId xmlns:a16="http://schemas.microsoft.com/office/drawing/2014/main" id="{00000000-0008-0000-0800-000051C80300}"/>
            </a:ext>
          </a:extLst>
        </xdr:cNvPr>
        <xdr:cNvSpPr txBox="1">
          <a:spLocks noChangeArrowheads="1"/>
        </xdr:cNvSpPr>
      </xdr:nvSpPr>
      <xdr:spPr bwMode="auto">
        <a:xfrm>
          <a:off x="4644390" y="956119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228600</xdr:colOff>
      <xdr:row>40</xdr:row>
      <xdr:rowOff>9525</xdr:rowOff>
    </xdr:from>
    <xdr:ext cx="779957" cy="206467"/>
    <xdr:sp macro="" textlink="">
      <xdr:nvSpPr>
        <xdr:cNvPr id="247890" name="Text Box 82">
          <a:extLst>
            <a:ext uri="{FF2B5EF4-FFF2-40B4-BE49-F238E27FC236}">
              <a16:creationId xmlns:a16="http://schemas.microsoft.com/office/drawing/2014/main" id="{00000000-0008-0000-0800-000052C80300}"/>
            </a:ext>
          </a:extLst>
        </xdr:cNvPr>
        <xdr:cNvSpPr txBox="1">
          <a:spLocks noChangeArrowheads="1"/>
        </xdr:cNvSpPr>
      </xdr:nvSpPr>
      <xdr:spPr bwMode="auto">
        <a:xfrm>
          <a:off x="1704975" y="74676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179070</xdr:colOff>
      <xdr:row>50</xdr:row>
      <xdr:rowOff>173355</xdr:rowOff>
    </xdr:from>
    <xdr:ext cx="845040" cy="206467"/>
    <xdr:sp macro="" textlink="">
      <xdr:nvSpPr>
        <xdr:cNvPr id="247891" name="Text Box 83">
          <a:extLst>
            <a:ext uri="{FF2B5EF4-FFF2-40B4-BE49-F238E27FC236}">
              <a16:creationId xmlns:a16="http://schemas.microsoft.com/office/drawing/2014/main" id="{00000000-0008-0000-0800-000053C80300}"/>
            </a:ext>
          </a:extLst>
        </xdr:cNvPr>
        <xdr:cNvSpPr txBox="1">
          <a:spLocks noChangeArrowheads="1"/>
        </xdr:cNvSpPr>
      </xdr:nvSpPr>
      <xdr:spPr bwMode="auto">
        <a:xfrm>
          <a:off x="1826895" y="981265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1</xdr:col>
      <xdr:colOff>7620</xdr:colOff>
      <xdr:row>69</xdr:row>
      <xdr:rowOff>7620</xdr:rowOff>
    </xdr:from>
    <xdr:to>
      <xdr:col>16</xdr:col>
      <xdr:colOff>7620</xdr:colOff>
      <xdr:row>75</xdr:row>
      <xdr:rowOff>7676</xdr:rowOff>
    </xdr:to>
    <xdr:sp macro="" textlink="">
      <xdr:nvSpPr>
        <xdr:cNvPr id="247892" name="Text Box 84">
          <a:extLst>
            <a:ext uri="{FF2B5EF4-FFF2-40B4-BE49-F238E27FC236}">
              <a16:creationId xmlns:a16="http://schemas.microsoft.com/office/drawing/2014/main" id="{00000000-0008-0000-0800-000054C80300}"/>
            </a:ext>
          </a:extLst>
        </xdr:cNvPr>
        <xdr:cNvSpPr txBox="1">
          <a:spLocks noChangeArrowheads="1"/>
        </xdr:cNvSpPr>
      </xdr:nvSpPr>
      <xdr:spPr bwMode="auto">
        <a:xfrm>
          <a:off x="68580" y="14424660"/>
          <a:ext cx="9098280" cy="1043940"/>
        </a:xfrm>
        <a:prstGeom prst="rect">
          <a:avLst/>
        </a:prstGeom>
        <a:solidFill>
          <a:srgbClr val="FFFFFF"/>
        </a:solidFill>
        <a:ln w="9525">
          <a:noFill/>
          <a:miter lim="800000"/>
          <a:headEnd/>
          <a:tailEnd/>
        </a:ln>
      </xdr:spPr>
      <xdr:txBody>
        <a:bodyPr vertOverflow="clip" wrap="square" lIns="36576" tIns="18288" rIns="0" bIns="0" anchor="t" upright="1"/>
        <a:lstStyle/>
        <a:p>
          <a:pPr algn="l" rtl="0">
            <a:defRPr sz="1000"/>
          </a:pPr>
          <a:r>
            <a:rPr lang="en-US" altLang="ja-JP" sz="900" b="1" i="0" strike="noStrike">
              <a:solidFill>
                <a:srgbClr val="000000"/>
              </a:solidFill>
              <a:latin typeface="ＭＳ Ｐゴシック"/>
              <a:ea typeface="ＭＳ Ｐゴシック"/>
            </a:rPr>
            <a:t>■CASBEE: Comprehensive Assessment System for Buil</a:t>
          </a:r>
          <a:r>
            <a:rPr lang="ja-JP" altLang="en-US" sz="900" b="1" i="0" strike="noStrike">
              <a:solidFill>
                <a:srgbClr val="000000"/>
              </a:solidFill>
              <a:latin typeface="ＭＳ Ｐゴシック"/>
              <a:ea typeface="ＭＳ Ｐゴシック"/>
            </a:rPr>
            <a:t>ｔ </a:t>
          </a:r>
          <a:r>
            <a:rPr lang="en-US" altLang="ja-JP" sz="900" b="1" i="0" strike="noStrike">
              <a:solidFill>
                <a:srgbClr val="000000"/>
              </a:solidFill>
              <a:latin typeface="ＭＳ Ｐゴシック"/>
              <a:ea typeface="ＭＳ Ｐゴシック"/>
            </a:rPr>
            <a:t>Environment Efficiency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（建築環境総合性能評価システム）</a:t>
          </a:r>
        </a:p>
        <a:p>
          <a:pPr algn="l" rtl="0">
            <a:defRPr sz="1000"/>
          </a:pPr>
          <a:r>
            <a:rPr lang="ja-JP" altLang="en-US" sz="900" b="0" i="0" strike="noStrike">
              <a:solidFill>
                <a:srgbClr val="000000"/>
              </a:solidFill>
              <a:latin typeface="ＭＳ Ｐゴシック"/>
              <a:ea typeface="ＭＳ Ｐゴシック"/>
            </a:rPr>
            <a:t>■</a:t>
          </a:r>
          <a:r>
            <a:rPr lang="en-US" altLang="ja-JP" sz="900" b="1" i="0" strike="noStrike">
              <a:solidFill>
                <a:srgbClr val="000000"/>
              </a:solidFill>
              <a:latin typeface="ＭＳ Ｐゴシック"/>
              <a:ea typeface="ＭＳ Ｐゴシック"/>
            </a:rPr>
            <a:t>Q: Quality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（環境品質）、</a:t>
          </a:r>
          <a:r>
            <a:rPr lang="en-US" altLang="ja-JP" sz="900" b="1" i="0" strike="noStrike">
              <a:solidFill>
                <a:srgbClr val="000000"/>
              </a:solidFill>
              <a:latin typeface="ＭＳ Ｐゴシック"/>
              <a:ea typeface="ＭＳ Ｐゴシック"/>
            </a:rPr>
            <a:t>L: Load </a:t>
          </a:r>
          <a:r>
            <a:rPr lang="ja-JP" altLang="en-US" sz="900" b="0" i="0" strike="noStrike">
              <a:solidFill>
                <a:srgbClr val="000000"/>
              </a:solidFill>
              <a:latin typeface="ＭＳ Ｐゴシック"/>
              <a:ea typeface="ＭＳ Ｐゴシック"/>
            </a:rPr>
            <a:t>（環境負荷）、</a:t>
          </a:r>
          <a:r>
            <a:rPr lang="en-US" altLang="ja-JP" sz="900" b="1" i="0" strike="noStrike">
              <a:solidFill>
                <a:srgbClr val="000000"/>
              </a:solidFill>
              <a:latin typeface="ＭＳ Ｐゴシック"/>
              <a:ea typeface="ＭＳ Ｐゴシック"/>
            </a:rPr>
            <a:t>LR: Load Reduction </a:t>
          </a:r>
          <a:r>
            <a:rPr lang="ja-JP" altLang="en-US" sz="900" b="0" i="0" strike="noStrike">
              <a:solidFill>
                <a:srgbClr val="000000"/>
              </a:solidFill>
              <a:latin typeface="ＭＳ Ｐゴシック"/>
              <a:ea typeface="ＭＳ Ｐゴシック"/>
            </a:rPr>
            <a:t>（環境負荷低減性）、</a:t>
          </a:r>
          <a:r>
            <a:rPr lang="en-US" altLang="ja-JP" sz="900" b="1" i="0" strike="noStrike">
              <a:solidFill>
                <a:srgbClr val="000000"/>
              </a:solidFill>
              <a:latin typeface="ＭＳ Ｐゴシック"/>
              <a:ea typeface="ＭＳ Ｐゴシック"/>
            </a:rPr>
            <a:t>BEE: Buil</a:t>
          </a:r>
          <a:r>
            <a:rPr lang="ja-JP" altLang="en-US" sz="900" b="1" i="0" strike="noStrike">
              <a:solidFill>
                <a:srgbClr val="000000"/>
              </a:solidFill>
              <a:latin typeface="ＭＳ Ｐゴシック"/>
              <a:ea typeface="ＭＳ Ｐゴシック"/>
            </a:rPr>
            <a:t>ｔ</a:t>
          </a:r>
          <a:r>
            <a:rPr lang="en-US" altLang="ja-JP" sz="900" b="1" i="0" strike="noStrike">
              <a:solidFill>
                <a:srgbClr val="000000"/>
              </a:solidFill>
              <a:latin typeface="ＭＳ Ｐゴシック"/>
              <a:ea typeface="ＭＳ Ｐゴシック"/>
            </a:rPr>
            <a:t> Environment Efficiency </a:t>
          </a:r>
          <a:r>
            <a:rPr lang="ja-JP" altLang="en-US" sz="900" b="0" i="0" strike="noStrike">
              <a:solidFill>
                <a:srgbClr val="000000"/>
              </a:solidFill>
              <a:latin typeface="ＭＳ Ｐゴシック"/>
              <a:ea typeface="ＭＳ Ｐゴシック"/>
            </a:rPr>
            <a:t>（環境効率）</a:t>
          </a:r>
        </a:p>
        <a:p>
          <a:pPr algn="l" rtl="0">
            <a:defRPr sz="1000"/>
          </a:pP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全体の表記ルールに従えば、</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戸建</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新築</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の場合、</a:t>
          </a:r>
          <a:r>
            <a:rPr lang="en-US" altLang="ja-JP" sz="900" b="0" i="0" strike="noStrike">
              <a:solidFill>
                <a:srgbClr val="000000"/>
              </a:solidFill>
              <a:latin typeface="ＭＳ Ｐゴシック"/>
              <a:ea typeface="ＭＳ Ｐゴシック"/>
            </a:rPr>
            <a:t>BEE</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などとすべきであるが、本シート上では簡略化のため</a:t>
          </a:r>
          <a:r>
            <a:rPr lang="en-US" altLang="ja-JP" sz="900" b="0" i="0" strike="noStrike">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を省略した</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」とは住宅の部材生産・建設から居住、改修、解体廃棄に至る一生の間の二酸化炭素排出量であり、ここでは住宅の寿命年数と延床面積で除した値を示す</a:t>
          </a:r>
        </a:p>
        <a:p>
          <a:pPr algn="l" rtl="0">
            <a:defRPr sz="1000"/>
          </a:pPr>
          <a:r>
            <a:rPr lang="ja-JP" altLang="en-US" sz="900" b="0" i="0" strike="noStrike">
              <a:solidFill>
                <a:srgbClr val="000000"/>
              </a:solidFill>
              <a:latin typeface="ＭＳ Ｐゴシック"/>
              <a:ea typeface="ＭＳ Ｐゴシック"/>
            </a:rPr>
            <a:t>■評価対象のライフサイクル</a:t>
          </a:r>
          <a:r>
            <a:rPr lang="en-US" altLang="ja-JP" sz="900" b="0" i="0" strike="noStrike">
              <a:solidFill>
                <a:srgbClr val="000000"/>
              </a:solidFill>
              <a:latin typeface="ＭＳ Ｐゴシック"/>
              <a:ea typeface="ＭＳ Ｐゴシック"/>
            </a:rPr>
            <a:t>CO</a:t>
          </a:r>
          <a:r>
            <a:rPr lang="en-US" altLang="ja-JP" sz="6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排出量は、</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H</a:t>
          </a:r>
          <a:r>
            <a:rPr lang="en-US" altLang="ja-JP" sz="9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H</a:t>
          </a:r>
          <a:r>
            <a:rPr lang="en-US" altLang="ja-JP" sz="900" b="0" i="0" strike="noStrike">
              <a:solidFill>
                <a:srgbClr val="000000"/>
              </a:solidFill>
              <a:latin typeface="ＭＳ Ｐゴシック"/>
              <a:ea typeface="ＭＳ Ｐゴシック"/>
            </a:rPr>
            <a:t>1</a:t>
          </a:r>
          <a:r>
            <a:rPr lang="ja-JP" altLang="en-US" sz="900" b="0" i="0" strike="noStrike">
              <a:solidFill>
                <a:srgbClr val="000000"/>
              </a:solidFill>
              <a:latin typeface="ＭＳ Ｐゴシック"/>
              <a:ea typeface="ＭＳ Ｐゴシック"/>
            </a:rPr>
            <a:t>中の住宅の寿命、省エネルギーなどの項目の評価結果から自動的に算出される（「戸建標準計算」の場合）</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の算定条件等については、マニュアルおよび「</a:t>
          </a:r>
          <a:r>
            <a:rPr lang="en-US" altLang="ja-JP" sz="900" b="0" i="0" strike="noStrike">
              <a:solidFill>
                <a:srgbClr val="000000"/>
              </a:solidFill>
              <a:latin typeface="ＭＳ Ｐゴシック"/>
              <a:ea typeface="ＭＳ Ｐゴシック"/>
            </a:rPr>
            <a:t>CO2</a:t>
          </a:r>
          <a:r>
            <a:rPr lang="ja-JP" altLang="en-US" sz="900" b="0" i="0" strike="noStrike">
              <a:solidFill>
                <a:srgbClr val="000000"/>
              </a:solidFill>
              <a:latin typeface="ＭＳ Ｐゴシック"/>
              <a:ea typeface="ＭＳ Ｐゴシック"/>
            </a:rPr>
            <a:t>計算」シートを参照されたい</a:t>
          </a:r>
        </a:p>
      </xdr:txBody>
    </xdr:sp>
    <xdr:clientData/>
  </xdr:twoCellAnchor>
  <xdr:oneCellAnchor>
    <xdr:from>
      <xdr:col>10</xdr:col>
      <xdr:colOff>146193</xdr:colOff>
      <xdr:row>47</xdr:row>
      <xdr:rowOff>119818</xdr:rowOff>
    </xdr:from>
    <xdr:ext cx="378515" cy="135181"/>
    <xdr:sp macro="" textlink="">
      <xdr:nvSpPr>
        <xdr:cNvPr id="247893" name="Text Box 85">
          <a:extLst>
            <a:ext uri="{FF2B5EF4-FFF2-40B4-BE49-F238E27FC236}">
              <a16:creationId xmlns:a16="http://schemas.microsoft.com/office/drawing/2014/main" id="{00000000-0008-0000-0800-000055C80300}"/>
            </a:ext>
          </a:extLst>
        </xdr:cNvPr>
        <xdr:cNvSpPr txBox="1">
          <a:spLocks noChangeArrowheads="1"/>
        </xdr:cNvSpPr>
      </xdr:nvSpPr>
      <xdr:spPr bwMode="auto">
        <a:xfrm>
          <a:off x="5834917" y="9132439"/>
          <a:ext cx="378515" cy="135181"/>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　機能性</a:t>
          </a:r>
        </a:p>
      </xdr:txBody>
    </xdr:sp>
    <xdr:clientData/>
  </xdr:oneCellAnchor>
  <xdr:twoCellAnchor editAs="oneCell">
    <xdr:from>
      <xdr:col>7</xdr:col>
      <xdr:colOff>285750</xdr:colOff>
      <xdr:row>47</xdr:row>
      <xdr:rowOff>86973</xdr:rowOff>
    </xdr:from>
    <xdr:to>
      <xdr:col>8</xdr:col>
      <xdr:colOff>397828</xdr:colOff>
      <xdr:row>49</xdr:row>
      <xdr:rowOff>15573</xdr:rowOff>
    </xdr:to>
    <xdr:sp macro="" textlink="">
      <xdr:nvSpPr>
        <xdr:cNvPr id="247894" name="Text Box 86">
          <a:extLst>
            <a:ext uri="{FF2B5EF4-FFF2-40B4-BE49-F238E27FC236}">
              <a16:creationId xmlns:a16="http://schemas.microsoft.com/office/drawing/2014/main" id="{00000000-0008-0000-0800-000056C80300}"/>
            </a:ext>
          </a:extLst>
        </xdr:cNvPr>
        <xdr:cNvSpPr txBox="1">
          <a:spLocks noChangeArrowheads="1"/>
        </xdr:cNvSpPr>
      </xdr:nvSpPr>
      <xdr:spPr bwMode="auto">
        <a:xfrm>
          <a:off x="3714750" y="9099594"/>
          <a:ext cx="838277"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長寿命に対する</a:t>
          </a:r>
        </a:p>
        <a:p>
          <a:pPr algn="ctr" rtl="0">
            <a:defRPr sz="1000"/>
          </a:pPr>
          <a:r>
            <a:rPr lang="ja-JP" altLang="en-US" sz="800" b="0" i="0" strike="noStrike">
              <a:solidFill>
                <a:srgbClr val="000000"/>
              </a:solidFill>
              <a:latin typeface="ＭＳ Ｐゴシック"/>
              <a:ea typeface="ＭＳ Ｐゴシック"/>
            </a:rPr>
            <a:t>基本性能</a:t>
          </a:r>
        </a:p>
      </xdr:txBody>
    </xdr:sp>
    <xdr:clientData/>
  </xdr:twoCellAnchor>
  <xdr:oneCellAnchor>
    <xdr:from>
      <xdr:col>9</xdr:col>
      <xdr:colOff>297180</xdr:colOff>
      <xdr:row>47</xdr:row>
      <xdr:rowOff>119818</xdr:rowOff>
    </xdr:from>
    <xdr:ext cx="478529" cy="133370"/>
    <xdr:sp macro="" textlink="">
      <xdr:nvSpPr>
        <xdr:cNvPr id="247895" name="Text Box 87">
          <a:extLst>
            <a:ext uri="{FF2B5EF4-FFF2-40B4-BE49-F238E27FC236}">
              <a16:creationId xmlns:a16="http://schemas.microsoft.com/office/drawing/2014/main" id="{00000000-0008-0000-0800-000057C80300}"/>
            </a:ext>
          </a:extLst>
        </xdr:cNvPr>
        <xdr:cNvSpPr txBox="1">
          <a:spLocks noChangeArrowheads="1"/>
        </xdr:cNvSpPr>
      </xdr:nvSpPr>
      <xdr:spPr bwMode="auto">
        <a:xfrm>
          <a:off x="4928301" y="9132439"/>
          <a:ext cx="478529" cy="133370"/>
        </a:xfrm>
        <a:prstGeom prst="rect">
          <a:avLst/>
        </a:prstGeom>
        <a:noFill/>
        <a:ln w="9525">
          <a:noFill/>
          <a:miter lim="800000"/>
          <a:headEnd/>
          <a:tailEnd/>
        </a:ln>
      </xdr:spPr>
      <xdr:txBody>
        <a:bodyPr wrap="none" lIns="0" tIns="0" rIns="0" bIns="0" anchor="ctr" upright="1">
          <a:spAutoFit/>
        </a:bodyPr>
        <a:lstStyle/>
        <a:p>
          <a:pPr algn="l" rtl="0">
            <a:defRPr sz="1000"/>
          </a:pPr>
          <a:r>
            <a:rPr lang="ja-JP" altLang="en-US" sz="800" b="0" i="0" strike="noStrike">
              <a:solidFill>
                <a:srgbClr val="000000"/>
              </a:solidFill>
              <a:latin typeface="ＭＳ Ｐゴシック"/>
              <a:ea typeface="ＭＳ Ｐゴシック"/>
            </a:rPr>
            <a:t>維持管理　</a:t>
          </a:r>
        </a:p>
      </xdr:txBody>
    </xdr:sp>
    <xdr:clientData/>
  </xdr:oneCellAnchor>
  <xdr:twoCellAnchor editAs="oneCell">
    <xdr:from>
      <xdr:col>2</xdr:col>
      <xdr:colOff>125730</xdr:colOff>
      <xdr:row>47</xdr:row>
      <xdr:rowOff>113249</xdr:rowOff>
    </xdr:from>
    <xdr:to>
      <xdr:col>2</xdr:col>
      <xdr:colOff>762413</xdr:colOff>
      <xdr:row>48</xdr:row>
      <xdr:rowOff>56099</xdr:rowOff>
    </xdr:to>
    <xdr:sp macro="" textlink="">
      <xdr:nvSpPr>
        <xdr:cNvPr id="247896" name="Text Box 88">
          <a:extLst>
            <a:ext uri="{FF2B5EF4-FFF2-40B4-BE49-F238E27FC236}">
              <a16:creationId xmlns:a16="http://schemas.microsoft.com/office/drawing/2014/main" id="{00000000-0008-0000-0800-000058C80300}"/>
            </a:ext>
          </a:extLst>
        </xdr:cNvPr>
        <xdr:cNvSpPr txBox="1">
          <a:spLocks noChangeArrowheads="1"/>
        </xdr:cNvSpPr>
      </xdr:nvSpPr>
      <xdr:spPr bwMode="auto">
        <a:xfrm>
          <a:off x="349075" y="9125870"/>
          <a:ext cx="636683"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暑さ・寒さ　</a:t>
          </a:r>
        </a:p>
      </xdr:txBody>
    </xdr:sp>
    <xdr:clientData/>
  </xdr:twoCellAnchor>
  <xdr:twoCellAnchor editAs="oneCell">
    <xdr:from>
      <xdr:col>2</xdr:col>
      <xdr:colOff>754381</xdr:colOff>
      <xdr:row>47</xdr:row>
      <xdr:rowOff>113248</xdr:rowOff>
    </xdr:from>
    <xdr:to>
      <xdr:col>4</xdr:col>
      <xdr:colOff>93346</xdr:colOff>
      <xdr:row>48</xdr:row>
      <xdr:rowOff>190499</xdr:rowOff>
    </xdr:to>
    <xdr:sp macro="" textlink="">
      <xdr:nvSpPr>
        <xdr:cNvPr id="247897" name="Text Box 89">
          <a:extLst>
            <a:ext uri="{FF2B5EF4-FFF2-40B4-BE49-F238E27FC236}">
              <a16:creationId xmlns:a16="http://schemas.microsoft.com/office/drawing/2014/main" id="{00000000-0008-0000-0800-000059C80300}"/>
            </a:ext>
          </a:extLst>
        </xdr:cNvPr>
        <xdr:cNvSpPr txBox="1">
          <a:spLocks noChangeArrowheads="1"/>
        </xdr:cNvSpPr>
      </xdr:nvSpPr>
      <xdr:spPr bwMode="auto">
        <a:xfrm>
          <a:off x="952501" y="8891488"/>
          <a:ext cx="632460" cy="267751"/>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健康と安全・安心　</a:t>
          </a:r>
        </a:p>
      </xdr:txBody>
    </xdr:sp>
    <xdr:clientData/>
  </xdr:twoCellAnchor>
  <xdr:twoCellAnchor editAs="oneCell">
    <xdr:from>
      <xdr:col>4</xdr:col>
      <xdr:colOff>167640</xdr:colOff>
      <xdr:row>47</xdr:row>
      <xdr:rowOff>113249</xdr:rowOff>
    </xdr:from>
    <xdr:to>
      <xdr:col>5</xdr:col>
      <xdr:colOff>247974</xdr:colOff>
      <xdr:row>48</xdr:row>
      <xdr:rowOff>56099</xdr:rowOff>
    </xdr:to>
    <xdr:sp macro="" textlink="">
      <xdr:nvSpPr>
        <xdr:cNvPr id="247898" name="Text Box 90">
          <a:extLst>
            <a:ext uri="{FF2B5EF4-FFF2-40B4-BE49-F238E27FC236}">
              <a16:creationId xmlns:a16="http://schemas.microsoft.com/office/drawing/2014/main" id="{00000000-0008-0000-0800-00005AC80300}"/>
            </a:ext>
          </a:extLst>
        </xdr:cNvPr>
        <xdr:cNvSpPr txBox="1">
          <a:spLocks noChangeArrowheads="1"/>
        </xdr:cNvSpPr>
      </xdr:nvSpPr>
      <xdr:spPr bwMode="auto">
        <a:xfrm>
          <a:off x="1816450" y="9125870"/>
          <a:ext cx="592714"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明るさ　</a:t>
          </a:r>
        </a:p>
      </xdr:txBody>
    </xdr:sp>
    <xdr:clientData/>
  </xdr:twoCellAnchor>
  <xdr:twoCellAnchor editAs="oneCell">
    <xdr:from>
      <xdr:col>5</xdr:col>
      <xdr:colOff>381000</xdr:colOff>
      <xdr:row>47</xdr:row>
      <xdr:rowOff>113249</xdr:rowOff>
    </xdr:from>
    <xdr:to>
      <xdr:col>6</xdr:col>
      <xdr:colOff>325755</xdr:colOff>
      <xdr:row>48</xdr:row>
      <xdr:rowOff>56099</xdr:rowOff>
    </xdr:to>
    <xdr:sp macro="" textlink="">
      <xdr:nvSpPr>
        <xdr:cNvPr id="247899" name="Text Box 91">
          <a:extLst>
            <a:ext uri="{FF2B5EF4-FFF2-40B4-BE49-F238E27FC236}">
              <a16:creationId xmlns:a16="http://schemas.microsoft.com/office/drawing/2014/main" id="{00000000-0008-0000-0800-00005BC80300}"/>
            </a:ext>
          </a:extLst>
        </xdr:cNvPr>
        <xdr:cNvSpPr txBox="1">
          <a:spLocks noChangeArrowheads="1"/>
        </xdr:cNvSpPr>
      </xdr:nvSpPr>
      <xdr:spPr bwMode="auto">
        <a:xfrm>
          <a:off x="2542190" y="9125870"/>
          <a:ext cx="584900"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静かさ　</a:t>
          </a:r>
        </a:p>
      </xdr:txBody>
    </xdr:sp>
    <xdr:clientData/>
  </xdr:twoCellAnchor>
  <xdr:twoCellAnchor editAs="oneCell">
    <xdr:from>
      <xdr:col>12</xdr:col>
      <xdr:colOff>125730</xdr:colOff>
      <xdr:row>47</xdr:row>
      <xdr:rowOff>86973</xdr:rowOff>
    </xdr:from>
    <xdr:to>
      <xdr:col>13</xdr:col>
      <xdr:colOff>231</xdr:colOff>
      <xdr:row>49</xdr:row>
      <xdr:rowOff>15573</xdr:rowOff>
    </xdr:to>
    <xdr:sp macro="" textlink="">
      <xdr:nvSpPr>
        <xdr:cNvPr id="247900" name="Text Box 92">
          <a:extLst>
            <a:ext uri="{FF2B5EF4-FFF2-40B4-BE49-F238E27FC236}">
              <a16:creationId xmlns:a16="http://schemas.microsoft.com/office/drawing/2014/main" id="{00000000-0008-0000-0800-00005CC80300}"/>
            </a:ext>
          </a:extLst>
        </xdr:cNvPr>
        <xdr:cNvSpPr txBox="1">
          <a:spLocks noChangeArrowheads="1"/>
        </xdr:cNvSpPr>
      </xdr:nvSpPr>
      <xdr:spPr bwMode="auto">
        <a:xfrm>
          <a:off x="7739161" y="9099594"/>
          <a:ext cx="609831"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生物環境の保全と創出</a:t>
          </a:r>
        </a:p>
      </xdr:txBody>
    </xdr:sp>
    <xdr:clientData/>
  </xdr:twoCellAnchor>
  <xdr:twoCellAnchor editAs="oneCell">
    <xdr:from>
      <xdr:col>11</xdr:col>
      <xdr:colOff>167640</xdr:colOff>
      <xdr:row>47</xdr:row>
      <xdr:rowOff>86973</xdr:rowOff>
    </xdr:from>
    <xdr:to>
      <xdr:col>12</xdr:col>
      <xdr:colOff>38206</xdr:colOff>
      <xdr:row>49</xdr:row>
      <xdr:rowOff>15573</xdr:rowOff>
    </xdr:to>
    <xdr:sp macro="" textlink="">
      <xdr:nvSpPr>
        <xdr:cNvPr id="247901" name="Text Box 93">
          <a:extLst>
            <a:ext uri="{FF2B5EF4-FFF2-40B4-BE49-F238E27FC236}">
              <a16:creationId xmlns:a16="http://schemas.microsoft.com/office/drawing/2014/main" id="{00000000-0008-0000-0800-00005DC80300}"/>
            </a:ext>
          </a:extLst>
        </xdr:cNvPr>
        <xdr:cNvSpPr txBox="1">
          <a:spLocks noChangeArrowheads="1"/>
        </xdr:cNvSpPr>
      </xdr:nvSpPr>
      <xdr:spPr bwMode="auto">
        <a:xfrm>
          <a:off x="6959950" y="9099594"/>
          <a:ext cx="691687"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まちなみ・景観への配慮</a:t>
          </a:r>
        </a:p>
      </xdr:txBody>
    </xdr:sp>
    <xdr:clientData/>
  </xdr:twoCellAnchor>
  <xdr:twoCellAnchor editAs="oneCell">
    <xdr:from>
      <xdr:col>13</xdr:col>
      <xdr:colOff>38100</xdr:colOff>
      <xdr:row>47</xdr:row>
      <xdr:rowOff>86973</xdr:rowOff>
    </xdr:from>
    <xdr:to>
      <xdr:col>13</xdr:col>
      <xdr:colOff>594293</xdr:colOff>
      <xdr:row>49</xdr:row>
      <xdr:rowOff>15573</xdr:rowOff>
    </xdr:to>
    <xdr:sp macro="" textlink="">
      <xdr:nvSpPr>
        <xdr:cNvPr id="247902" name="Text Box 94">
          <a:extLst>
            <a:ext uri="{FF2B5EF4-FFF2-40B4-BE49-F238E27FC236}">
              <a16:creationId xmlns:a16="http://schemas.microsoft.com/office/drawing/2014/main" id="{00000000-0008-0000-0800-00005EC80300}"/>
            </a:ext>
          </a:extLst>
        </xdr:cNvPr>
        <xdr:cNvSpPr txBox="1">
          <a:spLocks noChangeArrowheads="1"/>
        </xdr:cNvSpPr>
      </xdr:nvSpPr>
      <xdr:spPr bwMode="auto">
        <a:xfrm>
          <a:off x="8472652" y="9099594"/>
          <a:ext cx="548573"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地域の</a:t>
          </a:r>
        </a:p>
        <a:p>
          <a:pPr algn="ctr" rtl="0">
            <a:defRPr sz="1000"/>
          </a:pPr>
          <a:r>
            <a:rPr lang="ja-JP" altLang="en-US" sz="800" b="0" i="0" strike="noStrike">
              <a:solidFill>
                <a:srgbClr val="000000"/>
              </a:solidFill>
              <a:latin typeface="ＭＳ Ｐゴシック"/>
              <a:ea typeface="ＭＳ Ｐゴシック"/>
            </a:rPr>
            <a:t>安全・安心　　　　　　　　　</a:t>
          </a:r>
        </a:p>
      </xdr:txBody>
    </xdr:sp>
    <xdr:clientData/>
  </xdr:twoCellAnchor>
  <xdr:twoCellAnchor editAs="oneCell">
    <xdr:from>
      <xdr:col>13</xdr:col>
      <xdr:colOff>628650</xdr:colOff>
      <xdr:row>47</xdr:row>
      <xdr:rowOff>86973</xdr:rowOff>
    </xdr:from>
    <xdr:to>
      <xdr:col>15</xdr:col>
      <xdr:colOff>1222</xdr:colOff>
      <xdr:row>49</xdr:row>
      <xdr:rowOff>15573</xdr:rowOff>
    </xdr:to>
    <xdr:sp macro="" textlink="$X$52">
      <xdr:nvSpPr>
        <xdr:cNvPr id="247903" name="Text Box 95">
          <a:extLst>
            <a:ext uri="{FF2B5EF4-FFF2-40B4-BE49-F238E27FC236}">
              <a16:creationId xmlns:a16="http://schemas.microsoft.com/office/drawing/2014/main" id="{00000000-0008-0000-0800-00005FC80300}"/>
            </a:ext>
          </a:extLst>
        </xdr:cNvPr>
        <xdr:cNvSpPr txBox="1">
          <a:spLocks noChangeArrowheads="1"/>
        </xdr:cNvSpPr>
      </xdr:nvSpPr>
      <xdr:spPr bwMode="auto">
        <a:xfrm>
          <a:off x="9063202" y="9099594"/>
          <a:ext cx="1014813" cy="309600"/>
        </a:xfrm>
        <a:prstGeom prst="rect">
          <a:avLst/>
        </a:prstGeom>
        <a:noFill/>
        <a:ln w="9525">
          <a:noFill/>
          <a:miter lim="800000"/>
          <a:headEnd/>
          <a:tailEnd/>
        </a:ln>
      </xdr:spPr>
      <xdr:txBody>
        <a:bodyPr vertOverflow="clip" wrap="square" lIns="0" tIns="0" rIns="0" bIns="0" anchor="ctr" upright="1"/>
        <a:lstStyle/>
        <a:p>
          <a:pPr algn="ctr" rtl="0">
            <a:defRPr sz="1000"/>
          </a:pPr>
          <a:fld id="{2133A882-51A0-4BBF-BA58-516BB56701E8}" type="TxLink">
            <a:rPr lang="ja-JP" altLang="en-US" sz="800" b="0" i="0" u="none" strike="noStrike">
              <a:solidFill>
                <a:srgbClr val="000000"/>
              </a:solidFill>
              <a:latin typeface="ＭＳ Ｐゴシック"/>
              <a:ea typeface="ＭＳ Ｐゴシック"/>
            </a:rPr>
            <a:pPr algn="ctr" rtl="0">
              <a:defRPr sz="1000"/>
            </a:pPr>
            <a:t>地域の資源の活用と住文化の継承</a:t>
          </a:fld>
          <a:endParaRPr lang="ja-JP" altLang="en-US" sz="400" b="0" i="0" strike="noStrike">
            <a:solidFill>
              <a:srgbClr val="000000"/>
            </a:solidFill>
            <a:latin typeface="ＭＳ Ｐゴシック"/>
            <a:ea typeface="ＭＳ Ｐゴシック"/>
          </a:endParaRPr>
        </a:p>
      </xdr:txBody>
    </xdr:sp>
    <xdr:clientData/>
  </xdr:twoCellAnchor>
  <xdr:oneCellAnchor>
    <xdr:from>
      <xdr:col>2</xdr:col>
      <xdr:colOff>414481</xdr:colOff>
      <xdr:row>58</xdr:row>
      <xdr:rowOff>119696</xdr:rowOff>
    </xdr:from>
    <xdr:ext cx="409899" cy="266740"/>
    <xdr:sp macro="" textlink="">
      <xdr:nvSpPr>
        <xdr:cNvPr id="247904" name="Text Box 96">
          <a:extLst>
            <a:ext uri="{FF2B5EF4-FFF2-40B4-BE49-F238E27FC236}">
              <a16:creationId xmlns:a16="http://schemas.microsoft.com/office/drawing/2014/main" id="{00000000-0008-0000-0800-000060C80300}"/>
            </a:ext>
          </a:extLst>
        </xdr:cNvPr>
        <xdr:cNvSpPr txBox="1">
          <a:spLocks noChangeArrowheads="1"/>
        </xdr:cNvSpPr>
      </xdr:nvSpPr>
      <xdr:spPr bwMode="auto">
        <a:xfrm>
          <a:off x="633556" y="11321096"/>
          <a:ext cx="400366"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総合的な</a:t>
          </a:r>
        </a:p>
        <a:p>
          <a:pPr algn="ctr" rtl="0">
            <a:defRPr sz="1000"/>
          </a:pPr>
          <a:r>
            <a:rPr lang="ja-JP" altLang="en-US" sz="800" b="0" i="0" strike="noStrike">
              <a:solidFill>
                <a:srgbClr val="000000"/>
              </a:solidFill>
              <a:latin typeface="ＭＳ Ｐゴシック"/>
              <a:ea typeface="ＭＳ Ｐゴシック"/>
            </a:rPr>
            <a:t>省エネ</a:t>
          </a:r>
        </a:p>
      </xdr:txBody>
    </xdr:sp>
    <xdr:clientData/>
  </xdr:oneCellAnchor>
  <xdr:oneCellAnchor>
    <xdr:from>
      <xdr:col>10</xdr:col>
      <xdr:colOff>45720</xdr:colOff>
      <xdr:row>58</xdr:row>
      <xdr:rowOff>106680</xdr:rowOff>
    </xdr:from>
    <xdr:ext cx="723900" cy="266740"/>
    <xdr:sp macro="" textlink="">
      <xdr:nvSpPr>
        <xdr:cNvPr id="247905" name="Text Box 97">
          <a:extLst>
            <a:ext uri="{FF2B5EF4-FFF2-40B4-BE49-F238E27FC236}">
              <a16:creationId xmlns:a16="http://schemas.microsoft.com/office/drawing/2014/main" id="{00000000-0008-0000-0800-000061C80300}"/>
            </a:ext>
          </a:extLst>
        </xdr:cNvPr>
        <xdr:cNvSpPr txBox="1">
          <a:spLocks noChangeArrowheads="1"/>
        </xdr:cNvSpPr>
      </xdr:nvSpPr>
      <xdr:spPr bwMode="auto">
        <a:xfrm>
          <a:off x="5732145" y="11308080"/>
          <a:ext cx="723900" cy="266740"/>
        </a:xfrm>
        <a:prstGeom prst="rect">
          <a:avLst/>
        </a:prstGeom>
        <a:noFill/>
        <a:ln w="9525">
          <a:noFill/>
          <a:miter lim="800000"/>
          <a:headEnd/>
          <a:tailEnd/>
        </a:ln>
      </xdr:spPr>
      <xdr:txBody>
        <a:bodyPr wrap="square" lIns="0" tIns="0" rIns="0" bIns="0" anchor="t" upright="1">
          <a:spAutoFit/>
        </a:bodyPr>
        <a:lstStyle/>
        <a:p>
          <a:pPr algn="ctr" rtl="0">
            <a:defRPr sz="1000"/>
          </a:pPr>
          <a:r>
            <a:rPr lang="ja-JP" altLang="en-US" sz="800" b="0" i="0" strike="noStrike">
              <a:solidFill>
                <a:srgbClr val="000000"/>
              </a:solidFill>
              <a:latin typeface="ＭＳ Ｐゴシック"/>
              <a:ea typeface="ＭＳ Ｐゴシック"/>
            </a:rPr>
            <a:t>リサイクルの</a:t>
          </a:r>
        </a:p>
        <a:p>
          <a:pPr algn="ctr" rtl="0">
            <a:defRPr sz="1000"/>
          </a:pPr>
          <a:r>
            <a:rPr lang="ja-JP" altLang="en-US" sz="800" b="0" i="0" strike="noStrike">
              <a:solidFill>
                <a:srgbClr val="000000"/>
              </a:solidFill>
              <a:latin typeface="ＭＳ Ｐゴシック"/>
              <a:ea typeface="ＭＳ Ｐゴシック"/>
            </a:rPr>
            <a:t>促進</a:t>
          </a:r>
        </a:p>
      </xdr:txBody>
    </xdr:sp>
    <xdr:clientData/>
  </xdr:oneCellAnchor>
  <xdr:twoCellAnchor editAs="oneCell">
    <xdr:from>
      <xdr:col>11</xdr:col>
      <xdr:colOff>251460</xdr:colOff>
      <xdr:row>58</xdr:row>
      <xdr:rowOff>92490</xdr:rowOff>
    </xdr:from>
    <xdr:to>
      <xdr:col>12</xdr:col>
      <xdr:colOff>325798</xdr:colOff>
      <xdr:row>60</xdr:row>
      <xdr:rowOff>19382</xdr:rowOff>
    </xdr:to>
    <xdr:sp macro="" textlink="">
      <xdr:nvSpPr>
        <xdr:cNvPr id="247906" name="Text Box 98">
          <a:extLst>
            <a:ext uri="{FF2B5EF4-FFF2-40B4-BE49-F238E27FC236}">
              <a16:creationId xmlns:a16="http://schemas.microsoft.com/office/drawing/2014/main" id="{00000000-0008-0000-0800-000062C80300}"/>
            </a:ext>
          </a:extLst>
        </xdr:cNvPr>
        <xdr:cNvSpPr txBox="1">
          <a:spLocks noChangeArrowheads="1"/>
        </xdr:cNvSpPr>
      </xdr:nvSpPr>
      <xdr:spPr bwMode="auto">
        <a:xfrm>
          <a:off x="7043770" y="11266300"/>
          <a:ext cx="901174"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defRPr sz="1000"/>
          </a:pPr>
          <a:r>
            <a:rPr lang="ja-JP" altLang="en-US" sz="800" b="0" i="0" strike="noStrike">
              <a:solidFill>
                <a:srgbClr val="000000"/>
              </a:solidFill>
              <a:latin typeface="ＭＳ Ｐゴシック"/>
              <a:ea typeface="ＭＳ Ｐゴシック"/>
            </a:rPr>
            <a:t>への配慮</a:t>
          </a:r>
        </a:p>
      </xdr:txBody>
    </xdr:sp>
    <xdr:clientData/>
  </xdr:twoCellAnchor>
  <xdr:twoCellAnchor editAs="oneCell">
    <xdr:from>
      <xdr:col>12</xdr:col>
      <xdr:colOff>468630</xdr:colOff>
      <xdr:row>58</xdr:row>
      <xdr:rowOff>92490</xdr:rowOff>
    </xdr:from>
    <xdr:to>
      <xdr:col>13</xdr:col>
      <xdr:colOff>363873</xdr:colOff>
      <xdr:row>60</xdr:row>
      <xdr:rowOff>19382</xdr:rowOff>
    </xdr:to>
    <xdr:sp macro="" textlink="">
      <xdr:nvSpPr>
        <xdr:cNvPr id="247907" name="Text Box 99">
          <a:extLst>
            <a:ext uri="{FF2B5EF4-FFF2-40B4-BE49-F238E27FC236}">
              <a16:creationId xmlns:a16="http://schemas.microsoft.com/office/drawing/2014/main" id="{00000000-0008-0000-0800-000063C80300}"/>
            </a:ext>
          </a:extLst>
        </xdr:cNvPr>
        <xdr:cNvSpPr txBox="1">
          <a:spLocks noChangeArrowheads="1"/>
        </xdr:cNvSpPr>
      </xdr:nvSpPr>
      <xdr:spPr bwMode="auto">
        <a:xfrm>
          <a:off x="8082061" y="11266300"/>
          <a:ext cx="725889" cy="3096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地域環境へ</a:t>
          </a:r>
        </a:p>
        <a:p>
          <a:pPr algn="ctr" rtl="0">
            <a:defRPr sz="1000"/>
          </a:pPr>
          <a:r>
            <a:rPr lang="ja-JP" altLang="en-US" sz="800" b="0" i="0" strike="noStrike">
              <a:solidFill>
                <a:srgbClr val="000000"/>
              </a:solidFill>
              <a:latin typeface="ＭＳ Ｐゴシック"/>
              <a:ea typeface="ＭＳ Ｐゴシック"/>
            </a:rPr>
            <a:t>の配慮</a:t>
          </a:r>
        </a:p>
      </xdr:txBody>
    </xdr:sp>
    <xdr:clientData/>
  </xdr:twoCellAnchor>
  <xdr:twoCellAnchor editAs="oneCell">
    <xdr:from>
      <xdr:col>13</xdr:col>
      <xdr:colOff>548640</xdr:colOff>
      <xdr:row>58</xdr:row>
      <xdr:rowOff>92490</xdr:rowOff>
    </xdr:from>
    <xdr:to>
      <xdr:col>14</xdr:col>
      <xdr:colOff>514572</xdr:colOff>
      <xdr:row>60</xdr:row>
      <xdr:rowOff>19382</xdr:rowOff>
    </xdr:to>
    <xdr:sp macro="" textlink="">
      <xdr:nvSpPr>
        <xdr:cNvPr id="247908" name="Text Box 100">
          <a:extLst>
            <a:ext uri="{FF2B5EF4-FFF2-40B4-BE49-F238E27FC236}">
              <a16:creationId xmlns:a16="http://schemas.microsoft.com/office/drawing/2014/main" id="{00000000-0008-0000-0800-000064C80300}"/>
            </a:ext>
          </a:extLst>
        </xdr:cNvPr>
        <xdr:cNvSpPr txBox="1">
          <a:spLocks noChangeArrowheads="1"/>
        </xdr:cNvSpPr>
      </xdr:nvSpPr>
      <xdr:spPr bwMode="auto">
        <a:xfrm>
          <a:off x="8983192" y="11266300"/>
          <a:ext cx="779432" cy="3096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  周辺環境へ</a:t>
          </a:r>
        </a:p>
        <a:p>
          <a:pPr algn="ctr" rtl="0">
            <a:defRPr sz="1000"/>
          </a:pPr>
          <a:r>
            <a:rPr lang="ja-JP" altLang="en-US" sz="800" b="0" i="0" strike="noStrike">
              <a:solidFill>
                <a:srgbClr val="000000"/>
              </a:solidFill>
              <a:latin typeface="ＭＳ Ｐゴシック"/>
              <a:ea typeface="ＭＳ Ｐゴシック"/>
            </a:rPr>
            <a:t>の配慮</a:t>
          </a:r>
        </a:p>
        <a:p>
          <a:pPr algn="ctr" rtl="0">
            <a:defRPr sz="1000"/>
          </a:pPr>
          <a:endParaRPr lang="ja-JP" altLang="en-US" sz="800" b="0" i="0" strike="noStrike">
            <a:solidFill>
              <a:srgbClr val="000000"/>
            </a:solidFill>
            <a:latin typeface="ＭＳ Ｐゴシック"/>
            <a:ea typeface="ＭＳ Ｐゴシック"/>
          </a:endParaRPr>
        </a:p>
      </xdr:txBody>
    </xdr:sp>
    <xdr:clientData/>
  </xdr:twoCellAnchor>
  <xdr:oneCellAnchor>
    <xdr:from>
      <xdr:col>3</xdr:col>
      <xdr:colOff>310715</xdr:colOff>
      <xdr:row>58</xdr:row>
      <xdr:rowOff>123748</xdr:rowOff>
    </xdr:from>
    <xdr:ext cx="419913" cy="133370"/>
    <xdr:sp macro="" textlink="">
      <xdr:nvSpPr>
        <xdr:cNvPr id="247910" name="Text Box 102">
          <a:extLst>
            <a:ext uri="{FF2B5EF4-FFF2-40B4-BE49-F238E27FC236}">
              <a16:creationId xmlns:a16="http://schemas.microsoft.com/office/drawing/2014/main" id="{00000000-0008-0000-0800-000066C80300}"/>
            </a:ext>
          </a:extLst>
        </xdr:cNvPr>
        <xdr:cNvSpPr txBox="1">
          <a:spLocks noChangeArrowheads="1"/>
        </xdr:cNvSpPr>
      </xdr:nvSpPr>
      <xdr:spPr bwMode="auto">
        <a:xfrm>
          <a:off x="1548965" y="11325148"/>
          <a:ext cx="41991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水の節約</a:t>
          </a:r>
        </a:p>
      </xdr:txBody>
    </xdr:sp>
    <xdr:clientData/>
  </xdr:oneCellAnchor>
  <xdr:oneCellAnchor>
    <xdr:from>
      <xdr:col>5</xdr:col>
      <xdr:colOff>419130</xdr:colOff>
      <xdr:row>58</xdr:row>
      <xdr:rowOff>110171</xdr:rowOff>
    </xdr:from>
    <xdr:ext cx="522460" cy="266740"/>
    <xdr:sp macro="" textlink="">
      <xdr:nvSpPr>
        <xdr:cNvPr id="247911" name="Text Box 103">
          <a:extLst>
            <a:ext uri="{FF2B5EF4-FFF2-40B4-BE49-F238E27FC236}">
              <a16:creationId xmlns:a16="http://schemas.microsoft.com/office/drawing/2014/main" id="{00000000-0008-0000-0800-000067C80300}"/>
            </a:ext>
          </a:extLst>
        </xdr:cNvPr>
        <xdr:cNvSpPr txBox="1">
          <a:spLocks noChangeArrowheads="1"/>
        </xdr:cNvSpPr>
      </xdr:nvSpPr>
      <xdr:spPr bwMode="auto">
        <a:xfrm>
          <a:off x="2581305" y="11311571"/>
          <a:ext cx="512961"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維持管理と</a:t>
          </a:r>
        </a:p>
        <a:p>
          <a:pPr algn="ctr" rtl="0">
            <a:defRPr sz="1000"/>
          </a:pPr>
          <a:r>
            <a:rPr lang="ja-JP" altLang="en-US" sz="800" b="0" i="0" strike="noStrike">
              <a:solidFill>
                <a:srgbClr val="000000"/>
              </a:solidFill>
              <a:latin typeface="ＭＳ Ｐゴシック"/>
              <a:ea typeface="ＭＳ Ｐゴシック"/>
            </a:rPr>
            <a:t>運用の工夫</a:t>
          </a:r>
        </a:p>
      </xdr:txBody>
    </xdr:sp>
    <xdr:clientData/>
  </xdr:oneCellAnchor>
  <xdr:twoCellAnchor editAs="oneCell">
    <xdr:from>
      <xdr:col>9</xdr:col>
      <xdr:colOff>0</xdr:colOff>
      <xdr:row>58</xdr:row>
      <xdr:rowOff>45720</xdr:rowOff>
    </xdr:from>
    <xdr:to>
      <xdr:col>9</xdr:col>
      <xdr:colOff>948860</xdr:colOff>
      <xdr:row>60</xdr:row>
      <xdr:rowOff>38100</xdr:rowOff>
    </xdr:to>
    <xdr:sp macro="" textlink="">
      <xdr:nvSpPr>
        <xdr:cNvPr id="247912" name="Text Box 104">
          <a:extLst>
            <a:ext uri="{FF2B5EF4-FFF2-40B4-BE49-F238E27FC236}">
              <a16:creationId xmlns:a16="http://schemas.microsoft.com/office/drawing/2014/main" id="{00000000-0008-0000-0800-000068C80300}"/>
            </a:ext>
          </a:extLst>
        </xdr:cNvPr>
        <xdr:cNvSpPr txBox="1">
          <a:spLocks noChangeArrowheads="1"/>
        </xdr:cNvSpPr>
      </xdr:nvSpPr>
      <xdr:spPr bwMode="auto">
        <a:xfrm>
          <a:off x="4160520" y="11155680"/>
          <a:ext cx="922020" cy="3886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生産・施工段階に</a:t>
          </a:r>
        </a:p>
        <a:p>
          <a:pPr algn="ctr" rtl="0">
            <a:defRPr sz="1000"/>
          </a:pPr>
          <a:r>
            <a:rPr lang="ja-JP" altLang="en-US" sz="800" b="0" i="0" strike="noStrike">
              <a:solidFill>
                <a:srgbClr val="000000"/>
              </a:solidFill>
              <a:latin typeface="ＭＳ Ｐゴシック"/>
              <a:ea typeface="ＭＳ Ｐゴシック"/>
            </a:rPr>
            <a:t>おける廃棄物削減　　　</a:t>
          </a:r>
        </a:p>
      </xdr:txBody>
    </xdr:sp>
    <xdr:clientData/>
  </xdr:twoCellAnchor>
  <xdr:twoCellAnchor editAs="oneCell">
    <xdr:from>
      <xdr:col>7</xdr:col>
      <xdr:colOff>167640</xdr:colOff>
      <xdr:row>58</xdr:row>
      <xdr:rowOff>76200</xdr:rowOff>
    </xdr:from>
    <xdr:to>
      <xdr:col>9</xdr:col>
      <xdr:colOff>57429</xdr:colOff>
      <xdr:row>60</xdr:row>
      <xdr:rowOff>0</xdr:rowOff>
    </xdr:to>
    <xdr:sp macro="" textlink="">
      <xdr:nvSpPr>
        <xdr:cNvPr id="247913" name="Text Box 105">
          <a:extLst>
            <a:ext uri="{FF2B5EF4-FFF2-40B4-BE49-F238E27FC236}">
              <a16:creationId xmlns:a16="http://schemas.microsoft.com/office/drawing/2014/main" id="{00000000-0008-0000-0800-000069C80300}"/>
            </a:ext>
          </a:extLst>
        </xdr:cNvPr>
        <xdr:cNvSpPr txBox="1">
          <a:spLocks noChangeArrowheads="1"/>
        </xdr:cNvSpPr>
      </xdr:nvSpPr>
      <xdr:spPr bwMode="auto">
        <a:xfrm>
          <a:off x="3230880" y="11186160"/>
          <a:ext cx="982980" cy="3200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省資源、廃棄物抑制</a:t>
          </a:r>
        </a:p>
        <a:p>
          <a:pPr algn="ctr" rtl="0">
            <a:defRPr sz="1000"/>
          </a:pPr>
          <a:r>
            <a:rPr lang="ja-JP" altLang="en-US" sz="800" b="0" i="0" strike="noStrike">
              <a:solidFill>
                <a:srgbClr val="000000"/>
              </a:solidFill>
              <a:latin typeface="ＭＳ Ｐゴシック"/>
              <a:ea typeface="ＭＳ Ｐゴシック"/>
            </a:rPr>
            <a:t>に役立つ材料の採用</a:t>
          </a:r>
        </a:p>
      </xdr:txBody>
    </xdr:sp>
    <xdr:clientData/>
  </xdr:twoCellAnchor>
  <xdr:twoCellAnchor>
    <xdr:from>
      <xdr:col>11</xdr:col>
      <xdr:colOff>219075</xdr:colOff>
      <xdr:row>55</xdr:row>
      <xdr:rowOff>85725</xdr:rowOff>
    </xdr:from>
    <xdr:to>
      <xdr:col>14</xdr:col>
      <xdr:colOff>600075</xdr:colOff>
      <xdr:row>55</xdr:row>
      <xdr:rowOff>85725</xdr:rowOff>
    </xdr:to>
    <xdr:sp macro="" textlink="">
      <xdr:nvSpPr>
        <xdr:cNvPr id="5925929" name="Line 8">
          <a:extLst>
            <a:ext uri="{FF2B5EF4-FFF2-40B4-BE49-F238E27FC236}">
              <a16:creationId xmlns:a16="http://schemas.microsoft.com/office/drawing/2014/main" id="{00000000-0008-0000-0800-0000296C5A00}"/>
            </a:ext>
          </a:extLst>
        </xdr:cNvPr>
        <xdr:cNvSpPr>
          <a:spLocks noChangeShapeType="1"/>
        </xdr:cNvSpPr>
      </xdr:nvSpPr>
      <xdr:spPr bwMode="auto">
        <a:xfrm flipV="1">
          <a:off x="7010400" y="10687050"/>
          <a:ext cx="283845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247650</xdr:colOff>
      <xdr:row>55</xdr:row>
      <xdr:rowOff>95250</xdr:rowOff>
    </xdr:from>
    <xdr:to>
      <xdr:col>10</xdr:col>
      <xdr:colOff>819150</xdr:colOff>
      <xdr:row>55</xdr:row>
      <xdr:rowOff>95250</xdr:rowOff>
    </xdr:to>
    <xdr:sp macro="" textlink="">
      <xdr:nvSpPr>
        <xdr:cNvPr id="5925930" name="Line 27">
          <a:extLst>
            <a:ext uri="{FF2B5EF4-FFF2-40B4-BE49-F238E27FC236}">
              <a16:creationId xmlns:a16="http://schemas.microsoft.com/office/drawing/2014/main" id="{00000000-0008-0000-0800-00002A6C5A00}"/>
            </a:ext>
          </a:extLst>
        </xdr:cNvPr>
        <xdr:cNvSpPr>
          <a:spLocks noChangeShapeType="1"/>
        </xdr:cNvSpPr>
      </xdr:nvSpPr>
      <xdr:spPr bwMode="auto">
        <a:xfrm flipV="1">
          <a:off x="3676650" y="10696575"/>
          <a:ext cx="2828925"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771525</xdr:colOff>
      <xdr:row>21</xdr:row>
      <xdr:rowOff>112395</xdr:rowOff>
    </xdr:from>
    <xdr:to>
      <xdr:col>16</xdr:col>
      <xdr:colOff>83820</xdr:colOff>
      <xdr:row>36</xdr:row>
      <xdr:rowOff>133350</xdr:rowOff>
    </xdr:to>
    <xdr:graphicFrame macro="">
      <xdr:nvGraphicFramePr>
        <xdr:cNvPr id="5925931" name="Chart 6">
          <a:extLst>
            <a:ext uri="{FF2B5EF4-FFF2-40B4-BE49-F238E27FC236}">
              <a16:creationId xmlns:a16="http://schemas.microsoft.com/office/drawing/2014/main" id="{00000000-0008-0000-0800-00002B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78105</xdr:colOff>
      <xdr:row>24</xdr:row>
      <xdr:rowOff>1905</xdr:rowOff>
    </xdr:from>
    <xdr:to>
      <xdr:col>12</xdr:col>
      <xdr:colOff>163858</xdr:colOff>
      <xdr:row>25</xdr:row>
      <xdr:rowOff>40005</xdr:rowOff>
    </xdr:to>
    <xdr:sp macro="" textlink="">
      <xdr:nvSpPr>
        <xdr:cNvPr id="247837" name="Text Box 29">
          <a:extLst>
            <a:ext uri="{FF2B5EF4-FFF2-40B4-BE49-F238E27FC236}">
              <a16:creationId xmlns:a16="http://schemas.microsoft.com/office/drawing/2014/main" id="{00000000-0008-0000-0800-00001DC80300}"/>
            </a:ext>
          </a:extLst>
        </xdr:cNvPr>
        <xdr:cNvSpPr txBox="1">
          <a:spLocks noChangeArrowheads="1"/>
        </xdr:cNvSpPr>
      </xdr:nvSpPr>
      <xdr:spPr bwMode="auto">
        <a:xfrm>
          <a:off x="6181725" y="4337685"/>
          <a:ext cx="824893" cy="22860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Q1</a:t>
          </a:r>
        </a:p>
      </xdr:txBody>
    </xdr:sp>
    <xdr:clientData/>
  </xdr:twoCellAnchor>
  <xdr:twoCellAnchor>
    <xdr:from>
      <xdr:col>12</xdr:col>
      <xdr:colOff>251460</xdr:colOff>
      <xdr:row>21</xdr:row>
      <xdr:rowOff>68580</xdr:rowOff>
    </xdr:from>
    <xdr:to>
      <xdr:col>12</xdr:col>
      <xdr:colOff>251460</xdr:colOff>
      <xdr:row>22</xdr:row>
      <xdr:rowOff>22860</xdr:rowOff>
    </xdr:to>
    <xdr:sp macro="" textlink="">
      <xdr:nvSpPr>
        <xdr:cNvPr id="247838" name="Text Box 30">
          <a:extLst>
            <a:ext uri="{FF2B5EF4-FFF2-40B4-BE49-F238E27FC236}">
              <a16:creationId xmlns:a16="http://schemas.microsoft.com/office/drawing/2014/main" id="{00000000-0008-0000-0800-00001EC80300}"/>
            </a:ext>
          </a:extLst>
        </xdr:cNvPr>
        <xdr:cNvSpPr txBox="1">
          <a:spLocks noChangeArrowheads="1"/>
        </xdr:cNvSpPr>
      </xdr:nvSpPr>
      <xdr:spPr bwMode="auto">
        <a:xfrm>
          <a:off x="7086600" y="3893820"/>
          <a:ext cx="0" cy="14478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a:t>
          </a:r>
          <a:r>
            <a:rPr lang="en-US" altLang="ja-JP" sz="1100" b="1" i="0" strike="noStrike" baseline="-25000">
              <a:solidFill>
                <a:srgbClr val="000000"/>
              </a:solidFill>
              <a:latin typeface="Arial"/>
              <a:cs typeface="Arial"/>
            </a:rPr>
            <a:t>H</a:t>
          </a:r>
          <a:r>
            <a:rPr lang="en-US" altLang="ja-JP" sz="1100" b="1" i="0" strike="noStrike">
              <a:solidFill>
                <a:srgbClr val="000000"/>
              </a:solidFill>
              <a:latin typeface="Arial"/>
              <a:cs typeface="Arial"/>
            </a:rPr>
            <a:t>-2</a:t>
          </a:r>
        </a:p>
      </xdr:txBody>
    </xdr:sp>
    <xdr:clientData/>
  </xdr:twoCellAnchor>
  <xdr:twoCellAnchor>
    <xdr:from>
      <xdr:col>14</xdr:col>
      <xdr:colOff>30480</xdr:colOff>
      <xdr:row>24</xdr:row>
      <xdr:rowOff>32385</xdr:rowOff>
    </xdr:from>
    <xdr:to>
      <xdr:col>14</xdr:col>
      <xdr:colOff>579804</xdr:colOff>
      <xdr:row>25</xdr:row>
      <xdr:rowOff>71049</xdr:rowOff>
    </xdr:to>
    <xdr:sp macro="" textlink="">
      <xdr:nvSpPr>
        <xdr:cNvPr id="247839" name="Text Box 31">
          <a:extLst>
            <a:ext uri="{FF2B5EF4-FFF2-40B4-BE49-F238E27FC236}">
              <a16:creationId xmlns:a16="http://schemas.microsoft.com/office/drawing/2014/main" id="{00000000-0008-0000-0800-00001FC80300}"/>
            </a:ext>
          </a:extLst>
        </xdr:cNvPr>
        <xdr:cNvSpPr txBox="1">
          <a:spLocks noChangeArrowheads="1"/>
        </xdr:cNvSpPr>
      </xdr:nvSpPr>
      <xdr:spPr bwMode="auto">
        <a:xfrm>
          <a:off x="8351520" y="4368165"/>
          <a:ext cx="549324" cy="229164"/>
        </a:xfrm>
        <a:prstGeom prst="rect">
          <a:avLst/>
        </a:prstGeom>
        <a:noFill/>
        <a:ln w="9525">
          <a:noFill/>
          <a:miter lim="800000"/>
          <a:headEnd/>
          <a:tailEnd/>
        </a:ln>
      </xdr:spPr>
      <xdr:txBody>
        <a:bodyPr vertOverflow="clip" wrap="square" lIns="36576" tIns="27432" rIns="0" bIns="0" anchor="t" upright="1"/>
        <a:lstStyle/>
        <a:p>
          <a:pPr algn="r" rtl="0">
            <a:defRPr sz="1000"/>
          </a:pPr>
          <a:r>
            <a:rPr lang="en-US" altLang="ja-JP" sz="1100" b="1" i="0" strike="noStrike">
              <a:solidFill>
                <a:srgbClr val="000000"/>
              </a:solidFill>
              <a:latin typeface="Arial"/>
              <a:cs typeface="Arial"/>
            </a:rPr>
            <a:t>Q3</a:t>
          </a:r>
        </a:p>
      </xdr:txBody>
    </xdr:sp>
    <xdr:clientData/>
  </xdr:twoCellAnchor>
  <xdr:twoCellAnchor>
    <xdr:from>
      <xdr:col>11</xdr:col>
      <xdr:colOff>55245</xdr:colOff>
      <xdr:row>29</xdr:row>
      <xdr:rowOff>1905</xdr:rowOff>
    </xdr:from>
    <xdr:to>
      <xdr:col>11</xdr:col>
      <xdr:colOff>610110</xdr:colOff>
      <xdr:row>30</xdr:row>
      <xdr:rowOff>11976</xdr:rowOff>
    </xdr:to>
    <xdr:sp macro="" textlink="">
      <xdr:nvSpPr>
        <xdr:cNvPr id="247840" name="Text Box 32">
          <a:extLst>
            <a:ext uri="{FF2B5EF4-FFF2-40B4-BE49-F238E27FC236}">
              <a16:creationId xmlns:a16="http://schemas.microsoft.com/office/drawing/2014/main" id="{00000000-0008-0000-0800-000020C80300}"/>
            </a:ext>
          </a:extLst>
        </xdr:cNvPr>
        <xdr:cNvSpPr txBox="1">
          <a:spLocks noChangeArrowheads="1"/>
        </xdr:cNvSpPr>
      </xdr:nvSpPr>
      <xdr:spPr bwMode="auto">
        <a:xfrm>
          <a:off x="6160770" y="5316855"/>
          <a:ext cx="554865" cy="200571"/>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LR1</a:t>
          </a:r>
        </a:p>
      </xdr:txBody>
    </xdr:sp>
    <xdr:clientData/>
  </xdr:twoCellAnchor>
  <xdr:twoCellAnchor>
    <xdr:from>
      <xdr:col>12</xdr:col>
      <xdr:colOff>1905</xdr:colOff>
      <xdr:row>33</xdr:row>
      <xdr:rowOff>68580</xdr:rowOff>
    </xdr:from>
    <xdr:to>
      <xdr:col>12</xdr:col>
      <xdr:colOff>704933</xdr:colOff>
      <xdr:row>34</xdr:row>
      <xdr:rowOff>74824</xdr:rowOff>
    </xdr:to>
    <xdr:sp macro="" textlink="">
      <xdr:nvSpPr>
        <xdr:cNvPr id="247841" name="Text Box 33">
          <a:extLst>
            <a:ext uri="{FF2B5EF4-FFF2-40B4-BE49-F238E27FC236}">
              <a16:creationId xmlns:a16="http://schemas.microsoft.com/office/drawing/2014/main" id="{00000000-0008-0000-0800-000021C80300}"/>
            </a:ext>
          </a:extLst>
        </xdr:cNvPr>
        <xdr:cNvSpPr txBox="1">
          <a:spLocks noChangeArrowheads="1"/>
        </xdr:cNvSpPr>
      </xdr:nvSpPr>
      <xdr:spPr bwMode="auto">
        <a:xfrm>
          <a:off x="6844665" y="6118860"/>
          <a:ext cx="703028" cy="196744"/>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LR2</a:t>
          </a:r>
        </a:p>
      </xdr:txBody>
    </xdr:sp>
    <xdr:clientData/>
  </xdr:twoCellAnchor>
  <xdr:twoCellAnchor>
    <xdr:from>
      <xdr:col>14</xdr:col>
      <xdr:colOff>224790</xdr:colOff>
      <xdr:row>29</xdr:row>
      <xdr:rowOff>26670</xdr:rowOff>
    </xdr:from>
    <xdr:to>
      <xdr:col>14</xdr:col>
      <xdr:colOff>691857</xdr:colOff>
      <xdr:row>30</xdr:row>
      <xdr:rowOff>103101</xdr:rowOff>
    </xdr:to>
    <xdr:sp macro="" textlink="">
      <xdr:nvSpPr>
        <xdr:cNvPr id="247842" name="Text Box 34">
          <a:extLst>
            <a:ext uri="{FF2B5EF4-FFF2-40B4-BE49-F238E27FC236}">
              <a16:creationId xmlns:a16="http://schemas.microsoft.com/office/drawing/2014/main" id="{00000000-0008-0000-0800-000022C80300}"/>
            </a:ext>
          </a:extLst>
        </xdr:cNvPr>
        <xdr:cNvSpPr txBox="1">
          <a:spLocks noChangeArrowheads="1"/>
        </xdr:cNvSpPr>
      </xdr:nvSpPr>
      <xdr:spPr bwMode="auto">
        <a:xfrm>
          <a:off x="8545830" y="5314950"/>
          <a:ext cx="467067" cy="266931"/>
        </a:xfrm>
        <a:prstGeom prst="rect">
          <a:avLst/>
        </a:prstGeom>
        <a:noFill/>
        <a:ln w="9525">
          <a:noFill/>
          <a:miter lim="800000"/>
          <a:headEnd/>
          <a:tailEnd/>
        </a:ln>
      </xdr:spPr>
      <xdr:txBody>
        <a:bodyPr vertOverflow="clip" wrap="square" lIns="36576" tIns="27432" rIns="0" bIns="0" anchor="t" upright="1"/>
        <a:lstStyle/>
        <a:p>
          <a:pPr algn="r" rtl="0">
            <a:defRPr sz="1000"/>
          </a:pPr>
          <a:r>
            <a:rPr lang="en-US" altLang="ja-JP" sz="1100" b="1" i="0" strike="noStrike">
              <a:solidFill>
                <a:srgbClr val="000000"/>
              </a:solidFill>
              <a:latin typeface="Arial"/>
              <a:cs typeface="Arial"/>
            </a:rPr>
            <a:t>LR3</a:t>
          </a:r>
        </a:p>
      </xdr:txBody>
    </xdr:sp>
    <xdr:clientData/>
  </xdr:twoCellAnchor>
  <xdr:twoCellAnchor>
    <xdr:from>
      <xdr:col>12</xdr:col>
      <xdr:colOff>100965</xdr:colOff>
      <xdr:row>22</xdr:row>
      <xdr:rowOff>148590</xdr:rowOff>
    </xdr:from>
    <xdr:to>
      <xdr:col>13</xdr:col>
      <xdr:colOff>183117</xdr:colOff>
      <xdr:row>23</xdr:row>
      <xdr:rowOff>148950</xdr:rowOff>
    </xdr:to>
    <xdr:sp macro="" textlink="">
      <xdr:nvSpPr>
        <xdr:cNvPr id="247845" name="Text Box 37">
          <a:extLst>
            <a:ext uri="{FF2B5EF4-FFF2-40B4-BE49-F238E27FC236}">
              <a16:creationId xmlns:a16="http://schemas.microsoft.com/office/drawing/2014/main" id="{00000000-0008-0000-0800-000025C80300}"/>
            </a:ext>
          </a:extLst>
        </xdr:cNvPr>
        <xdr:cNvSpPr txBox="1">
          <a:spLocks noChangeArrowheads="1"/>
        </xdr:cNvSpPr>
      </xdr:nvSpPr>
      <xdr:spPr bwMode="auto">
        <a:xfrm>
          <a:off x="6949440" y="4130040"/>
          <a:ext cx="825102" cy="19086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Q2</a:t>
          </a:r>
        </a:p>
      </xdr:txBody>
    </xdr:sp>
    <xdr:clientData/>
  </xdr:twoCellAnchor>
  <xdr:twoCellAnchor>
    <xdr:from>
      <xdr:col>7</xdr:col>
      <xdr:colOff>87630</xdr:colOff>
      <xdr:row>26</xdr:row>
      <xdr:rowOff>102870</xdr:rowOff>
    </xdr:from>
    <xdr:to>
      <xdr:col>8</xdr:col>
      <xdr:colOff>248371</xdr:colOff>
      <xdr:row>27</xdr:row>
      <xdr:rowOff>140970</xdr:rowOff>
    </xdr:to>
    <xdr:sp macro="" textlink="">
      <xdr:nvSpPr>
        <xdr:cNvPr id="247924" name="Text Box 131">
          <a:extLst>
            <a:ext uri="{FF2B5EF4-FFF2-40B4-BE49-F238E27FC236}">
              <a16:creationId xmlns:a16="http://schemas.microsoft.com/office/drawing/2014/main" id="{00000000-0008-0000-0800-000074C80300}"/>
            </a:ext>
          </a:extLst>
        </xdr:cNvPr>
        <xdr:cNvSpPr txBox="1">
          <a:spLocks noChangeArrowheads="1"/>
        </xdr:cNvSpPr>
      </xdr:nvSpPr>
      <xdr:spPr bwMode="auto">
        <a:xfrm>
          <a:off x="3514725" y="4932045"/>
          <a:ext cx="904875"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7</xdr:col>
      <xdr:colOff>361950</xdr:colOff>
      <xdr:row>20</xdr:row>
      <xdr:rowOff>171450</xdr:rowOff>
    </xdr:from>
    <xdr:to>
      <xdr:col>10</xdr:col>
      <xdr:colOff>866775</xdr:colOff>
      <xdr:row>25</xdr:row>
      <xdr:rowOff>0</xdr:rowOff>
    </xdr:to>
    <xdr:graphicFrame macro="">
      <xdr:nvGraphicFramePr>
        <xdr:cNvPr id="5925940" name="Chart 123">
          <a:extLst>
            <a:ext uri="{FF2B5EF4-FFF2-40B4-BE49-F238E27FC236}">
              <a16:creationId xmlns:a16="http://schemas.microsoft.com/office/drawing/2014/main" id="{00000000-0008-0000-0800-000034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5715</xdr:colOff>
      <xdr:row>24</xdr:row>
      <xdr:rowOff>7620</xdr:rowOff>
    </xdr:from>
    <xdr:to>
      <xdr:col>11</xdr:col>
      <xdr:colOff>85756</xdr:colOff>
      <xdr:row>25</xdr:row>
      <xdr:rowOff>38100</xdr:rowOff>
    </xdr:to>
    <xdr:sp macro="" textlink="">
      <xdr:nvSpPr>
        <xdr:cNvPr id="247927" name="Text Box 129">
          <a:extLst>
            <a:ext uri="{FF2B5EF4-FFF2-40B4-BE49-F238E27FC236}">
              <a16:creationId xmlns:a16="http://schemas.microsoft.com/office/drawing/2014/main" id="{00000000-0008-0000-0800-000077C80300}"/>
            </a:ext>
          </a:extLst>
        </xdr:cNvPr>
        <xdr:cNvSpPr txBox="1">
          <a:spLocks noChangeArrowheads="1"/>
        </xdr:cNvSpPr>
      </xdr:nvSpPr>
      <xdr:spPr bwMode="auto">
        <a:xfrm>
          <a:off x="3084195" y="4343400"/>
          <a:ext cx="3088011" cy="22098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strike="noStrike">
              <a:solidFill>
                <a:srgbClr val="000000"/>
              </a:solidFill>
              <a:latin typeface="ＭＳ Ｐゴシック"/>
              <a:ea typeface="ＭＳ Ｐゴシック"/>
            </a:rPr>
            <a:t>～</a:t>
          </a:r>
          <a:r>
            <a:rPr lang="en-US" altLang="ja-JP" sz="700" b="0" i="0" strike="noStrike">
              <a:solidFill>
                <a:srgbClr val="000000"/>
              </a:solidFill>
              <a:latin typeface="ＭＳ Ｐゴシック"/>
              <a:ea typeface="ＭＳ Ｐゴシック"/>
            </a:rPr>
            <a:t>0%: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50%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75%</a:t>
          </a:r>
          <a:r>
            <a:rPr lang="en-US" altLang="ja-JP" sz="7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100%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100%</a:t>
          </a:r>
          <a:r>
            <a:rPr lang="ja-JP" altLang="en-US" sz="700" b="0" i="0" strike="noStrike">
              <a:solidFill>
                <a:srgbClr val="333333"/>
              </a:solidFill>
              <a:latin typeface="ＭＳ Ｐゴシック"/>
              <a:ea typeface="ＭＳ Ｐゴシック"/>
            </a:rPr>
            <a:t>超</a:t>
          </a:r>
          <a:r>
            <a:rPr lang="en-US" altLang="ja-JP" sz="700" b="0" i="0" strike="noStrike">
              <a:solidFill>
                <a:srgbClr val="000000"/>
              </a:solidFill>
              <a:latin typeface="ＭＳ Ｐゴシック"/>
              <a:ea typeface="ＭＳ Ｐゴシック"/>
            </a:rPr>
            <a:t>: ☆</a:t>
          </a:r>
        </a:p>
      </xdr:txBody>
    </xdr:sp>
    <xdr:clientData/>
  </xdr:twoCellAnchor>
  <xdr:twoCellAnchor>
    <xdr:from>
      <xdr:col>7</xdr:col>
      <xdr:colOff>87630</xdr:colOff>
      <xdr:row>27</xdr:row>
      <xdr:rowOff>160020</xdr:rowOff>
    </xdr:from>
    <xdr:to>
      <xdr:col>8</xdr:col>
      <xdr:colOff>328482</xdr:colOff>
      <xdr:row>29</xdr:row>
      <xdr:rowOff>7620</xdr:rowOff>
    </xdr:to>
    <xdr:sp macro="" textlink="">
      <xdr:nvSpPr>
        <xdr:cNvPr id="247930" name="Text Box 131">
          <a:extLst>
            <a:ext uri="{FF2B5EF4-FFF2-40B4-BE49-F238E27FC236}">
              <a16:creationId xmlns:a16="http://schemas.microsoft.com/office/drawing/2014/main" id="{00000000-0008-0000-0800-00007AC80300}"/>
            </a:ext>
          </a:extLst>
        </xdr:cNvPr>
        <xdr:cNvSpPr txBox="1">
          <a:spLocks noChangeArrowheads="1"/>
        </xdr:cNvSpPr>
      </xdr:nvSpPr>
      <xdr:spPr bwMode="auto">
        <a:xfrm>
          <a:off x="3147060" y="5128260"/>
          <a:ext cx="883920"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7</xdr:col>
      <xdr:colOff>87630</xdr:colOff>
      <xdr:row>29</xdr:row>
      <xdr:rowOff>60960</xdr:rowOff>
    </xdr:from>
    <xdr:to>
      <xdr:col>8</xdr:col>
      <xdr:colOff>328482</xdr:colOff>
      <xdr:row>31</xdr:row>
      <xdr:rowOff>3960</xdr:rowOff>
    </xdr:to>
    <xdr:sp macro="" textlink="">
      <xdr:nvSpPr>
        <xdr:cNvPr id="247931" name="Text Box 131">
          <a:extLst>
            <a:ext uri="{FF2B5EF4-FFF2-40B4-BE49-F238E27FC236}">
              <a16:creationId xmlns:a16="http://schemas.microsoft.com/office/drawing/2014/main" id="{00000000-0008-0000-0800-00007BC80300}"/>
            </a:ext>
          </a:extLst>
        </xdr:cNvPr>
        <xdr:cNvSpPr txBox="1">
          <a:spLocks noChangeArrowheads="1"/>
        </xdr:cNvSpPr>
      </xdr:nvSpPr>
      <xdr:spPr bwMode="auto">
        <a:xfrm>
          <a:off x="3516630" y="5381822"/>
          <a:ext cx="976576" cy="3240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0">
            <a:defRPr sz="1000"/>
          </a:pPr>
          <a:r>
            <a:rPr lang="ja-JP" altLang="en-US" sz="800" b="0" i="0" strike="noStrike">
              <a:solidFill>
                <a:srgbClr val="000000"/>
              </a:solidFill>
              <a:latin typeface="ＭＳ ゴシック"/>
              <a:ea typeface="ＭＳ ゴシック"/>
            </a:rPr>
            <a:t>　オンサイト手法</a:t>
          </a:r>
        </a:p>
      </xdr:txBody>
    </xdr:sp>
    <xdr:clientData/>
  </xdr:twoCellAnchor>
  <xdr:twoCellAnchor>
    <xdr:from>
      <xdr:col>10</xdr:col>
      <xdr:colOff>167640</xdr:colOff>
      <xdr:row>33</xdr:row>
      <xdr:rowOff>68580</xdr:rowOff>
    </xdr:from>
    <xdr:to>
      <xdr:col>11</xdr:col>
      <xdr:colOff>7808</xdr:colOff>
      <xdr:row>34</xdr:row>
      <xdr:rowOff>83820</xdr:rowOff>
    </xdr:to>
    <xdr:sp macro="" textlink="">
      <xdr:nvSpPr>
        <xdr:cNvPr id="247928" name="Text Box 120">
          <a:extLst>
            <a:ext uri="{FF2B5EF4-FFF2-40B4-BE49-F238E27FC236}">
              <a16:creationId xmlns:a16="http://schemas.microsoft.com/office/drawing/2014/main" id="{00000000-0008-0000-0800-000078C80300}"/>
            </a:ext>
          </a:extLst>
        </xdr:cNvPr>
        <xdr:cNvSpPr txBox="1">
          <a:spLocks noChangeArrowheads="1"/>
        </xdr:cNvSpPr>
      </xdr:nvSpPr>
      <xdr:spPr bwMode="auto">
        <a:xfrm>
          <a:off x="5250180" y="6172200"/>
          <a:ext cx="861060" cy="20574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8</xdr:col>
      <xdr:colOff>209550</xdr:colOff>
      <xdr:row>25</xdr:row>
      <xdr:rowOff>57150</xdr:rowOff>
    </xdr:from>
    <xdr:to>
      <xdr:col>11</xdr:col>
      <xdr:colOff>9525</xdr:colOff>
      <xdr:row>34</xdr:row>
      <xdr:rowOff>57150</xdr:rowOff>
    </xdr:to>
    <xdr:graphicFrame macro="">
      <xdr:nvGraphicFramePr>
        <xdr:cNvPr id="5925945" name="Chart 199">
          <a:extLst>
            <a:ext uri="{FF2B5EF4-FFF2-40B4-BE49-F238E27FC236}">
              <a16:creationId xmlns:a16="http://schemas.microsoft.com/office/drawing/2014/main" id="{00000000-0008-0000-0800-000039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80010</xdr:colOff>
      <xdr:row>31</xdr:row>
      <xdr:rowOff>9525</xdr:rowOff>
    </xdr:from>
    <xdr:to>
      <xdr:col>8</xdr:col>
      <xdr:colOff>302694</xdr:colOff>
      <xdr:row>32</xdr:row>
      <xdr:rowOff>143025</xdr:rowOff>
    </xdr:to>
    <xdr:sp macro="" textlink="">
      <xdr:nvSpPr>
        <xdr:cNvPr id="60" name="Text Box 131">
          <a:extLst>
            <a:ext uri="{FF2B5EF4-FFF2-40B4-BE49-F238E27FC236}">
              <a16:creationId xmlns:a16="http://schemas.microsoft.com/office/drawing/2014/main" id="{00000000-0008-0000-0800-00003C000000}"/>
            </a:ext>
          </a:extLst>
        </xdr:cNvPr>
        <xdr:cNvSpPr txBox="1">
          <a:spLocks noChangeArrowheads="1"/>
        </xdr:cNvSpPr>
      </xdr:nvSpPr>
      <xdr:spPr bwMode="auto">
        <a:xfrm>
          <a:off x="3509010" y="5711387"/>
          <a:ext cx="958408" cy="3240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0">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3</xdr:col>
      <xdr:colOff>164646</xdr:colOff>
      <xdr:row>27</xdr:row>
      <xdr:rowOff>168729</xdr:rowOff>
    </xdr:from>
    <xdr:to>
      <xdr:col>4</xdr:col>
      <xdr:colOff>121104</xdr:colOff>
      <xdr:row>29</xdr:row>
      <xdr:rowOff>73479</xdr:rowOff>
    </xdr:to>
    <xdr:sp macro="" textlink="$S$13">
      <xdr:nvSpPr>
        <xdr:cNvPr id="5322838" name="Text Box 25686">
          <a:extLst>
            <a:ext uri="{FF2B5EF4-FFF2-40B4-BE49-F238E27FC236}">
              <a16:creationId xmlns:a16="http://schemas.microsoft.com/office/drawing/2014/main" id="{00000000-0008-0000-0800-000056385100}"/>
            </a:ext>
          </a:extLst>
        </xdr:cNvPr>
        <xdr:cNvSpPr txBox="1">
          <a:spLocks noChangeArrowheads="1" noTextEdit="1"/>
        </xdr:cNvSpPr>
      </xdr:nvSpPr>
      <xdr:spPr bwMode="auto">
        <a:xfrm>
          <a:off x="1402896" y="5176158"/>
          <a:ext cx="364672"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fld id="{EEEFA7A4-6165-4033-B215-4FA44F35A8D5}" type="TxLink">
            <a:rPr lang="ja-JP" altLang="en-US" sz="1400" b="1" i="0" u="none" strike="noStrike" baseline="0">
              <a:solidFill>
                <a:srgbClr val="FF0000"/>
              </a:solidFill>
              <a:latin typeface="Arial"/>
              <a:cs typeface="Arial"/>
            </a:rPr>
            <a:pPr algn="l" rtl="0">
              <a:defRPr sz="1000"/>
            </a:pPr>
            <a:t>2.9</a:t>
          </a:fld>
          <a:endParaRPr lang="ja-JP" altLang="en-US" sz="1400" b="1" i="0" u="none" strike="noStrike" baseline="0">
            <a:solidFill>
              <a:srgbClr val="FF0000"/>
            </a:solidFill>
            <a:latin typeface="Arial"/>
            <a:cs typeface="Arial"/>
          </a:endParaRPr>
        </a:p>
      </xdr:txBody>
    </xdr:sp>
    <xdr:clientData/>
  </xdr:twoCellAnchor>
  <xdr:oneCellAnchor>
    <xdr:from>
      <xdr:col>1</xdr:col>
      <xdr:colOff>0</xdr:colOff>
      <xdr:row>21</xdr:row>
      <xdr:rowOff>179070</xdr:rowOff>
    </xdr:from>
    <xdr:ext cx="514115" cy="219419"/>
    <xdr:sp macro="" textlink="">
      <xdr:nvSpPr>
        <xdr:cNvPr id="59" name="Text Box 39">
          <a:extLst>
            <a:ext uri="{FF2B5EF4-FFF2-40B4-BE49-F238E27FC236}">
              <a16:creationId xmlns:a16="http://schemas.microsoft.com/office/drawing/2014/main" id="{00000000-0008-0000-0800-00003B000000}"/>
            </a:ext>
          </a:extLst>
        </xdr:cNvPr>
        <xdr:cNvSpPr txBox="1">
          <a:spLocks noChangeArrowheads="1"/>
        </xdr:cNvSpPr>
      </xdr:nvSpPr>
      <xdr:spPr bwMode="auto">
        <a:xfrm>
          <a:off x="57150" y="3970020"/>
          <a:ext cx="514115"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a:t>
          </a:r>
        </a:p>
      </xdr:txBody>
    </xdr:sp>
    <xdr:clientData/>
  </xdr:oneCellAnchor>
  <xdr:twoCellAnchor editAs="oneCell">
    <xdr:from>
      <xdr:col>1</xdr:col>
      <xdr:colOff>74295</xdr:colOff>
      <xdr:row>1</xdr:row>
      <xdr:rowOff>24765</xdr:rowOff>
    </xdr:from>
    <xdr:to>
      <xdr:col>11</xdr:col>
      <xdr:colOff>54435</xdr:colOff>
      <xdr:row>4</xdr:row>
      <xdr:rowOff>13299</xdr:rowOff>
    </xdr:to>
    <xdr:pic>
      <xdr:nvPicPr>
        <xdr:cNvPr id="3" name="図 2">
          <a:extLst>
            <a:ext uri="{FF2B5EF4-FFF2-40B4-BE49-F238E27FC236}">
              <a16:creationId xmlns:a16="http://schemas.microsoft.com/office/drawing/2014/main" id="{E6A0F64A-C494-45B4-8BE4-305FAD479D2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445" y="100965"/>
          <a:ext cx="6020895" cy="716244"/>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0.16542</cdr:x>
      <cdr:y>0.65688</cdr:y>
    </cdr:from>
    <cdr:to>
      <cdr:x>0.32156</cdr:x>
      <cdr:y>0.77684</cdr:y>
    </cdr:to>
    <cdr:sp macro="" textlink="'結果（2-3レーダー）'!$Z$59">
      <cdr:nvSpPr>
        <cdr:cNvPr id="5326849" name="Text Box 1"/>
        <cdr:cNvSpPr txBox="1">
          <a:spLocks xmlns:a="http://schemas.openxmlformats.org/drawingml/2006/main" noChangeArrowheads="1" noTextEdit="1"/>
        </cdr:cNvSpPr>
      </cdr:nvSpPr>
      <cdr:spPr bwMode="auto">
        <a:xfrm xmlns:a="http://schemas.openxmlformats.org/drawingml/2006/main">
          <a:off x="524716" y="1060576"/>
          <a:ext cx="492262" cy="1930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fld id="{A2CFAB62-63B1-4863-A4E1-CDE75C80A7F3}" type="TxLink">
            <a:rPr lang="ja-JP" altLang="en-US" sz="1100" b="0" i="0" u="none" strike="noStrike" baseline="0">
              <a:solidFill>
                <a:srgbClr val="000000"/>
              </a:solidFill>
              <a:latin typeface="Arial"/>
              <a:cs typeface="Arial"/>
            </a:rPr>
            <a:pPr algn="l" rtl="0">
              <a:defRPr sz="1000"/>
            </a:pPr>
            <a:t> </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0.45566</cdr:x>
      <cdr:y>0.65016</cdr:y>
    </cdr:from>
    <cdr:to>
      <cdr:x>0.61596</cdr:x>
      <cdr:y>0.77953</cdr:y>
    </cdr:to>
    <cdr:sp macro="" textlink="'結果（2-3レーダー）'!$Z$60">
      <cdr:nvSpPr>
        <cdr:cNvPr id="248834" name="Text Box 2"/>
        <cdr:cNvSpPr txBox="1">
          <a:spLocks xmlns:a="http://schemas.openxmlformats.org/drawingml/2006/main" noChangeArrowheads="1" noTextEdit="1"/>
        </cdr:cNvSpPr>
      </cdr:nvSpPr>
      <cdr:spPr bwMode="auto">
        <a:xfrm xmlns:a="http://schemas.openxmlformats.org/drawingml/2006/main">
          <a:off x="1296857" y="1027943"/>
          <a:ext cx="444531" cy="2076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0.75086</cdr:x>
      <cdr:y>0.68117</cdr:y>
    </cdr:from>
    <cdr:to>
      <cdr:x>0.90576</cdr:x>
      <cdr:y>0.81197</cdr:y>
    </cdr:to>
    <cdr:sp macro="" textlink="'結果（2-3レーダー）'!$Z$61">
      <cdr:nvSpPr>
        <cdr:cNvPr id="248835" name="Text Box 3"/>
        <cdr:cNvSpPr txBox="1">
          <a:spLocks xmlns:a="http://schemas.openxmlformats.org/drawingml/2006/main" noChangeArrowheads="1" noTextEdit="1"/>
        </cdr:cNvSpPr>
      </cdr:nvSpPr>
      <cdr:spPr bwMode="auto">
        <a:xfrm xmlns:a="http://schemas.openxmlformats.org/drawingml/2006/main">
          <a:off x="2190024" y="1077465"/>
          <a:ext cx="441796" cy="2076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0.13162</cdr:x>
      <cdr:y>0.65117</cdr:y>
    </cdr:from>
    <cdr:to>
      <cdr:x>0.30224</cdr:x>
      <cdr:y>0.78562</cdr:y>
    </cdr:to>
    <cdr:sp macro="" textlink="'結果（2-3レーダー）'!$W$59">
      <cdr:nvSpPr>
        <cdr:cNvPr id="5327873" name="Text Box 1"/>
        <cdr:cNvSpPr txBox="1">
          <a:spLocks xmlns:a="http://schemas.openxmlformats.org/drawingml/2006/main" noChangeArrowheads="1"/>
        </cdr:cNvSpPr>
      </cdr:nvSpPr>
      <cdr:spPr bwMode="auto">
        <a:xfrm xmlns:a="http://schemas.openxmlformats.org/drawingml/2006/main">
          <a:off x="413131" y="1069985"/>
          <a:ext cx="531419"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0.43432</cdr:x>
      <cdr:y>0.63374</cdr:y>
    </cdr:from>
    <cdr:to>
      <cdr:x>0.603</cdr:x>
      <cdr:y>0.76819</cdr:y>
    </cdr:to>
    <cdr:sp macro="" textlink="'結果（2-3レーダー）'!$W$60">
      <cdr:nvSpPr>
        <cdr:cNvPr id="5327874" name="Text Box 2"/>
        <cdr:cNvSpPr txBox="1">
          <a:spLocks xmlns:a="http://schemas.openxmlformats.org/drawingml/2006/main" noChangeArrowheads="1"/>
        </cdr:cNvSpPr>
      </cdr:nvSpPr>
      <cdr:spPr bwMode="auto">
        <a:xfrm xmlns:a="http://schemas.openxmlformats.org/drawingml/2006/main">
          <a:off x="1355946" y="1041438"/>
          <a:ext cx="525380"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0.74357</cdr:x>
      <cdr:y>0.65282</cdr:y>
    </cdr:from>
    <cdr:to>
      <cdr:x>0.91128</cdr:x>
      <cdr:y>0.78562</cdr:y>
    </cdr:to>
    <cdr:sp macro="" textlink="'結果（2-3レーダー）'!$W$61">
      <cdr:nvSpPr>
        <cdr:cNvPr id="5327875" name="Text Box 3"/>
        <cdr:cNvSpPr txBox="1">
          <a:spLocks xmlns:a="http://schemas.openxmlformats.org/drawingml/2006/main" noChangeArrowheads="1"/>
        </cdr:cNvSpPr>
      </cdr:nvSpPr>
      <cdr:spPr bwMode="auto">
        <a:xfrm xmlns:a="http://schemas.openxmlformats.org/drawingml/2006/main">
          <a:off x="2319143" y="1072685"/>
          <a:ext cx="522361" cy="2175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0.08103</cdr:x>
      <cdr:y>0.45229</cdr:y>
    </cdr:from>
    <cdr:to>
      <cdr:x>0.98123</cdr:x>
      <cdr:y>0.45229</cdr:y>
    </cdr:to>
    <cdr:sp macro="" textlink="">
      <cdr:nvSpPr>
        <cdr:cNvPr id="2977793" name="Line 1"/>
        <cdr:cNvSpPr>
          <a:spLocks xmlns:a="http://schemas.openxmlformats.org/drawingml/2006/main" noChangeShapeType="1"/>
        </cdr:cNvSpPr>
      </cdr:nvSpPr>
      <cdr:spPr bwMode="auto">
        <a:xfrm xmlns:a="http://schemas.openxmlformats.org/drawingml/2006/main" flipV="1">
          <a:off x="253106" y="736008"/>
          <a:ext cx="281174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0.14549</cdr:x>
      <cdr:y>0.6393</cdr:y>
    </cdr:from>
    <cdr:to>
      <cdr:x>0.30452</cdr:x>
      <cdr:y>0.77705</cdr:y>
    </cdr:to>
    <cdr:sp macro="" textlink="'結果（2-3レーダー）'!$T$59">
      <cdr:nvSpPr>
        <cdr:cNvPr id="5328898" name="Text Box 2"/>
        <cdr:cNvSpPr txBox="1">
          <a:spLocks xmlns:a="http://schemas.openxmlformats.org/drawingml/2006/main" noChangeArrowheads="1"/>
        </cdr:cNvSpPr>
      </cdr:nvSpPr>
      <cdr:spPr bwMode="auto">
        <a:xfrm xmlns:a="http://schemas.openxmlformats.org/drawingml/2006/main">
          <a:off x="454545" y="1047369"/>
          <a:ext cx="496842" cy="225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pPr algn="l" rtl="0">
            <a:defRPr sz="1000"/>
          </a:pPr>
          <a:fld id="{0671EBA3-4C1A-46C1-BAE8-17A7BF0D48D4}" type="TxLink">
            <a:rPr lang="en-US" altLang="en-US" sz="1100" b="0" i="0" u="none" strike="noStrike" baseline="0">
              <a:solidFill>
                <a:srgbClr val="000000"/>
              </a:solidFill>
              <a:latin typeface="Arial"/>
              <a:cs typeface="Arial"/>
            </a:rPr>
            <a:pPr algn="l" rtl="0">
              <a:defRPr sz="1000"/>
            </a:pPr>
            <a:t> </a:t>
          </a:fld>
          <a:endParaRPr lang="ja-JP" altLang="en-US" sz="1100" b="0" i="0" u="none" strike="noStrike" baseline="0">
            <a:solidFill>
              <a:srgbClr val="000000"/>
            </a:solidFill>
            <a:latin typeface="Calibri"/>
            <a:cs typeface="Calibri"/>
          </a:endParaRPr>
        </a:p>
      </cdr:txBody>
    </cdr:sp>
  </cdr:relSizeAnchor>
  <cdr:relSizeAnchor xmlns:cdr="http://schemas.openxmlformats.org/drawingml/2006/chartDrawing">
    <cdr:from>
      <cdr:x>0.44735</cdr:x>
      <cdr:y>0.64462</cdr:y>
    </cdr:from>
    <cdr:to>
      <cdr:x>0.61385</cdr:x>
      <cdr:y>0.78169</cdr:y>
    </cdr:to>
    <cdr:sp macro="" textlink="'結果（2-3レーダー）'!$T$60">
      <cdr:nvSpPr>
        <cdr:cNvPr id="250884" name="Text Box 4"/>
        <cdr:cNvSpPr txBox="1">
          <a:spLocks xmlns:a="http://schemas.openxmlformats.org/drawingml/2006/main" noChangeArrowheads="1" noTextEdit="1"/>
        </cdr:cNvSpPr>
      </cdr:nvSpPr>
      <cdr:spPr bwMode="auto">
        <a:xfrm xmlns:a="http://schemas.openxmlformats.org/drawingml/2006/main">
          <a:off x="1397599" y="1056081"/>
          <a:ext cx="520180" cy="2245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0.74501</cdr:x>
      <cdr:y>0.64521</cdr:y>
    </cdr:from>
    <cdr:to>
      <cdr:x>0.90573</cdr:x>
      <cdr:y>0.77518</cdr:y>
    </cdr:to>
    <cdr:sp macro="" textlink="'結果（2-3レーダー）'!$T$61">
      <cdr:nvSpPr>
        <cdr:cNvPr id="5328901" name="Text Box 5"/>
        <cdr:cNvSpPr txBox="1">
          <a:spLocks xmlns:a="http://schemas.openxmlformats.org/drawingml/2006/main" noChangeArrowheads="1"/>
        </cdr:cNvSpPr>
      </cdr:nvSpPr>
      <cdr:spPr bwMode="auto">
        <a:xfrm xmlns:a="http://schemas.openxmlformats.org/drawingml/2006/main">
          <a:off x="2327571" y="1057054"/>
          <a:ext cx="502121" cy="2129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xml><?xml version="1.0" encoding="utf-8"?>
<c:userShapes xmlns:c="http://schemas.openxmlformats.org/drawingml/2006/chart">
  <cdr:relSizeAnchor xmlns:cdr="http://schemas.openxmlformats.org/drawingml/2006/chartDrawing">
    <cdr:from>
      <cdr:x>0.09747</cdr:x>
      <cdr:y>0.47288</cdr:y>
    </cdr:from>
    <cdr:to>
      <cdr:x>0.98115</cdr:x>
      <cdr:y>0.47288</cdr:y>
    </cdr:to>
    <cdr:sp macro="" textlink="">
      <cdr:nvSpPr>
        <cdr:cNvPr id="251905" name="Line 1"/>
        <cdr:cNvSpPr>
          <a:spLocks xmlns:a="http://schemas.openxmlformats.org/drawingml/2006/main" noChangeShapeType="1"/>
        </cdr:cNvSpPr>
      </cdr:nvSpPr>
      <cdr:spPr bwMode="auto">
        <a:xfrm xmlns:a="http://schemas.openxmlformats.org/drawingml/2006/main" flipV="1">
          <a:off x="307230" y="729680"/>
          <a:ext cx="2785397"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0.13148</cdr:x>
      <cdr:y>0.68624</cdr:y>
    </cdr:from>
    <cdr:to>
      <cdr:x>0.26143</cdr:x>
      <cdr:y>0.8299</cdr:y>
    </cdr:to>
    <cdr:sp macro="" textlink="'結果（2-3レーダー）'!$T$49">
      <cdr:nvSpPr>
        <cdr:cNvPr id="251906" name="Text Box 2"/>
        <cdr:cNvSpPr txBox="1">
          <a:spLocks xmlns:a="http://schemas.openxmlformats.org/drawingml/2006/main" noChangeArrowheads="1" noTextEdit="1"/>
        </cdr:cNvSpPr>
      </cdr:nvSpPr>
      <cdr:spPr bwMode="auto">
        <a:xfrm xmlns:a="http://schemas.openxmlformats.org/drawingml/2006/main">
          <a:off x="387276" y="1030482"/>
          <a:ext cx="385033"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cdr:x>
      <cdr:y>0.69839</cdr:y>
    </cdr:from>
    <cdr:to>
      <cdr:x>0.49608</cdr:x>
      <cdr:y>0.84228</cdr:y>
    </cdr:to>
    <cdr:sp macro="" textlink="'結果（2-3レーダー）'!$T$50">
      <cdr:nvSpPr>
        <cdr:cNvPr id="251907" name="Text Box 3"/>
        <cdr:cNvSpPr txBox="1">
          <a:spLocks xmlns:a="http://schemas.openxmlformats.org/drawingml/2006/main" noChangeArrowheads="1" noTextEdit="1"/>
        </cdr:cNvSpPr>
      </cdr:nvSpPr>
      <cdr:spPr bwMode="auto">
        <a:xfrm xmlns:a="http://schemas.openxmlformats.org/drawingml/2006/main">
          <a:off x="985684" y="1030482"/>
          <a:ext cx="427435"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0.57905</cdr:x>
      <cdr:y>0.69712</cdr:y>
    </cdr:from>
    <cdr:to>
      <cdr:x>0.70828</cdr:x>
      <cdr:y>0.8419</cdr:y>
    </cdr:to>
    <cdr:sp macro="" textlink="'結果（2-3レーダー）'!$T$51">
      <cdr:nvSpPr>
        <cdr:cNvPr id="5329924" name="Text Box 4"/>
        <cdr:cNvSpPr txBox="1">
          <a:spLocks xmlns:a="http://schemas.openxmlformats.org/drawingml/2006/main" noChangeArrowheads="1"/>
        </cdr:cNvSpPr>
      </cdr:nvSpPr>
      <cdr:spPr bwMode="auto">
        <a:xfrm xmlns:a="http://schemas.openxmlformats.org/drawingml/2006/main">
          <a:off x="1834290" y="1085501"/>
          <a:ext cx="408684" cy="2247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0.79533</cdr:x>
      <cdr:y>0.69712</cdr:y>
    </cdr:from>
    <cdr:to>
      <cdr:x>0.94784</cdr:x>
      <cdr:y>0.8412</cdr:y>
    </cdr:to>
    <cdr:sp macro="" textlink="'結果（2-3レーダー）'!$T$52">
      <cdr:nvSpPr>
        <cdr:cNvPr id="5329925" name="Text Box 5"/>
        <cdr:cNvSpPr txBox="1">
          <a:spLocks xmlns:a="http://schemas.openxmlformats.org/drawingml/2006/main" noChangeArrowheads="1"/>
        </cdr:cNvSpPr>
      </cdr:nvSpPr>
      <cdr:spPr bwMode="auto">
        <a:xfrm xmlns:a="http://schemas.openxmlformats.org/drawingml/2006/main">
          <a:off x="2518242" y="1085501"/>
          <a:ext cx="482293" cy="223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0.07258</cdr:x>
      <cdr:y>0.44632</cdr:y>
    </cdr:from>
    <cdr:to>
      <cdr:x>0.97303</cdr:x>
      <cdr:y>0.44632</cdr:y>
    </cdr:to>
    <cdr:sp macro="" textlink="">
      <cdr:nvSpPr>
        <cdr:cNvPr id="252929" name="Line 1"/>
        <cdr:cNvSpPr>
          <a:spLocks xmlns:a="http://schemas.openxmlformats.org/drawingml/2006/main" noChangeShapeType="1"/>
        </cdr:cNvSpPr>
      </cdr:nvSpPr>
      <cdr:spPr bwMode="auto">
        <a:xfrm xmlns:a="http://schemas.openxmlformats.org/drawingml/2006/main">
          <a:off x="227871" y="735463"/>
          <a:ext cx="2827041"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0.11183</cdr:x>
      <cdr:y>0.63166</cdr:y>
    </cdr:from>
    <cdr:to>
      <cdr:x>0.24244</cdr:x>
      <cdr:y>0.78409</cdr:y>
    </cdr:to>
    <cdr:sp macro="" textlink="'結果（2-3レーダー）'!$Z$49">
      <cdr:nvSpPr>
        <cdr:cNvPr id="252930" name="Text Box 2"/>
        <cdr:cNvSpPr txBox="1">
          <a:spLocks xmlns:a="http://schemas.openxmlformats.org/drawingml/2006/main" noChangeArrowheads="1" noTextEdit="1"/>
        </cdr:cNvSpPr>
      </cdr:nvSpPr>
      <cdr:spPr bwMode="auto">
        <a:xfrm xmlns:a="http://schemas.openxmlformats.org/drawingml/2006/main">
          <a:off x="310638" y="1063607"/>
          <a:ext cx="389416" cy="25523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0.33051</cdr:x>
      <cdr:y>0.65527</cdr:y>
    </cdr:from>
    <cdr:to>
      <cdr:x>0.4814</cdr:x>
      <cdr:y>0.78668</cdr:y>
    </cdr:to>
    <cdr:sp macro="" textlink="'結果（2-3レーダー）'!$Z$50">
      <cdr:nvSpPr>
        <cdr:cNvPr id="252931" name="Text Box 3"/>
        <cdr:cNvSpPr txBox="1">
          <a:spLocks xmlns:a="http://schemas.openxmlformats.org/drawingml/2006/main" noChangeArrowheads="1" noTextEdit="1"/>
        </cdr:cNvSpPr>
      </cdr:nvSpPr>
      <cdr:spPr bwMode="auto">
        <a:xfrm xmlns:a="http://schemas.openxmlformats.org/drawingml/2006/main">
          <a:off x="941479" y="1103438"/>
          <a:ext cx="42760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0.55815</cdr:x>
      <cdr:y>0.65527</cdr:y>
    </cdr:from>
    <cdr:to>
      <cdr:x>0.70612</cdr:x>
      <cdr:y>0.78668</cdr:y>
    </cdr:to>
    <cdr:sp macro="" textlink="'結果（2-3レーダー）'!$Z$51">
      <cdr:nvSpPr>
        <cdr:cNvPr id="252932" name="Text Box 4"/>
        <cdr:cNvSpPr txBox="1">
          <a:spLocks xmlns:a="http://schemas.openxmlformats.org/drawingml/2006/main" noChangeArrowheads="1" noTextEdit="1"/>
        </cdr:cNvSpPr>
      </cdr:nvSpPr>
      <cdr:spPr bwMode="auto">
        <a:xfrm xmlns:a="http://schemas.openxmlformats.org/drawingml/2006/main">
          <a:off x="1588005" y="1103438"/>
          <a:ext cx="41737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cdr:x>
      <cdr:y>0.6494</cdr:y>
    </cdr:from>
    <cdr:to>
      <cdr:x>0.93757</cdr:x>
      <cdr:y>0.78454</cdr:y>
    </cdr:to>
    <cdr:sp macro="" textlink="'結果（2-3レーダー）'!$Z$52">
      <cdr:nvSpPr>
        <cdr:cNvPr id="252933" name="Text Box 5"/>
        <cdr:cNvSpPr txBox="1">
          <a:spLocks xmlns:a="http://schemas.openxmlformats.org/drawingml/2006/main" noChangeArrowheads="1" noTextEdit="1"/>
        </cdr:cNvSpPr>
      </cdr:nvSpPr>
      <cdr:spPr bwMode="auto">
        <a:xfrm xmlns:a="http://schemas.openxmlformats.org/drawingml/2006/main">
          <a:off x="2231804" y="1093770"/>
          <a:ext cx="427608" cy="2273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9.xml><?xml version="1.0" encoding="utf-8"?>
<c:userShapes xmlns:c="http://schemas.openxmlformats.org/drawingml/2006/chart">
  <cdr:relSizeAnchor xmlns:cdr="http://schemas.openxmlformats.org/drawingml/2006/chartDrawing">
    <cdr:from>
      <cdr:x>0.07874</cdr:x>
      <cdr:y>0.45322</cdr:y>
    </cdr:from>
    <cdr:to>
      <cdr:x>0.98586</cdr:x>
      <cdr:y>0.45322</cdr:y>
    </cdr:to>
    <cdr:sp macro="" textlink="">
      <cdr:nvSpPr>
        <cdr:cNvPr id="2980865" name="Line 1"/>
        <cdr:cNvSpPr>
          <a:spLocks xmlns:a="http://schemas.openxmlformats.org/drawingml/2006/main" noChangeShapeType="1"/>
        </cdr:cNvSpPr>
      </cdr:nvSpPr>
      <cdr:spPr bwMode="auto">
        <a:xfrm xmlns:a="http://schemas.openxmlformats.org/drawingml/2006/main">
          <a:off x="243700" y="733876"/>
          <a:ext cx="2807438"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0.13529</cdr:x>
      <cdr:y>0.66053</cdr:y>
    </cdr:from>
    <cdr:to>
      <cdr:x>0.30032</cdr:x>
      <cdr:y>0.80694</cdr:y>
    </cdr:to>
    <cdr:sp macro="" textlink="'結果（2-3レーダー）'!$W$49">
      <cdr:nvSpPr>
        <cdr:cNvPr id="5331970" name="Text Box 2"/>
        <cdr:cNvSpPr txBox="1">
          <a:spLocks xmlns:a="http://schemas.openxmlformats.org/drawingml/2006/main" noChangeArrowheads="1"/>
        </cdr:cNvSpPr>
      </cdr:nvSpPr>
      <cdr:spPr bwMode="auto">
        <a:xfrm xmlns:a="http://schemas.openxmlformats.org/drawingml/2006/main">
          <a:off x="423275" y="1079029"/>
          <a:ext cx="51243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0.43893</cdr:x>
      <cdr:y>0.66053</cdr:y>
    </cdr:from>
    <cdr:to>
      <cdr:x>0.6105</cdr:x>
      <cdr:y>0.80694</cdr:y>
    </cdr:to>
    <cdr:sp macro="" textlink="'結果（2-3レーダー）'!$W$50">
      <cdr:nvSpPr>
        <cdr:cNvPr id="5331971" name="Text Box 3"/>
        <cdr:cNvSpPr txBox="1">
          <a:spLocks xmlns:a="http://schemas.openxmlformats.org/drawingml/2006/main" noChangeArrowheads="1"/>
        </cdr:cNvSpPr>
      </cdr:nvSpPr>
      <cdr:spPr bwMode="auto">
        <a:xfrm xmlns:a="http://schemas.openxmlformats.org/drawingml/2006/main">
          <a:off x="1366126" y="1079029"/>
          <a:ext cx="532753"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0.74257</cdr:x>
      <cdr:y>0.66053</cdr:y>
    </cdr:from>
    <cdr:to>
      <cdr:x>0.90857</cdr:x>
      <cdr:y>0.80694</cdr:y>
    </cdr:to>
    <cdr:sp macro="" textlink="'結果（2-3レーダー）'!$W$51">
      <cdr:nvSpPr>
        <cdr:cNvPr id="5331972" name="Text Box 4"/>
        <cdr:cNvSpPr txBox="1">
          <a:spLocks xmlns:a="http://schemas.openxmlformats.org/drawingml/2006/main" noChangeArrowheads="1"/>
        </cdr:cNvSpPr>
      </cdr:nvSpPr>
      <cdr:spPr bwMode="auto">
        <a:xfrm xmlns:a="http://schemas.openxmlformats.org/drawingml/2006/main">
          <a:off x="2308977" y="1079029"/>
          <a:ext cx="51544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2.vml" />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2" Type="http://schemas.openxmlformats.org/officeDocument/2006/relationships/drawing" Target="../drawings/drawing21.xml" />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22.xml" />
  <Relationship Id="rId1" Type="http://schemas.openxmlformats.org/officeDocument/2006/relationships/printerSettings" Target="../printerSettings/printerSettings15.bin" />
  <Relationship Id="rId4" Type="http://schemas.openxmlformats.org/officeDocument/2006/relationships/comments" Target="../comments3.xml" />
</Relationships>
</file>

<file path=xl/worksheets/_rels/sheet16.xml.rels>&#65279;<?xml version="1.0" encoding="utf-8" standalone="yes"?>
<Relationships xmlns="http://schemas.openxmlformats.org/package/2006/relationships">
  <Relationship Id="rId2" Type="http://schemas.openxmlformats.org/officeDocument/2006/relationships/drawing" Target="../drawings/drawing23.xml" />
  <Relationship Id="rId1" Type="http://schemas.openxmlformats.org/officeDocument/2006/relationships/printerSettings" Target="../printerSettings/printerSettings16.bin" />
</Relationships>
</file>

<file path=xl/worksheets/_rels/sheet17.xml.rels>&#65279;<?xml version="1.0" encoding="utf-8" standalone="yes"?>
<Relationships xmlns="http://schemas.openxmlformats.org/package/2006/relationships">
  <Relationship Id="rId1" Type="http://schemas.openxmlformats.org/officeDocument/2006/relationships/printerSettings" Target="../printerSettings/printerSettings17.bin" />
</Relationships>
</file>

<file path=xl/worksheets/_rels/sheet18.xml.rels>&#65279;<?xml version="1.0" encoding="utf-8" standalone="yes"?>
<Relationships xmlns="http://schemas.openxmlformats.org/package/2006/relationships">
  <Relationship Id="rId2" Type="http://schemas.openxmlformats.org/officeDocument/2006/relationships/drawing" Target="../drawings/drawing24.xml" />
  <Relationship Id="rId1" Type="http://schemas.openxmlformats.org/officeDocument/2006/relationships/printerSettings" Target="../printerSettings/printerSettings18.bin" />
</Relationships>
</file>

<file path=xl/worksheets/_rels/sheet19.xml.rels>&#65279;<?xml version="1.0" encoding="utf-8" standalone="yes"?>
<Relationships xmlns="http://schemas.openxmlformats.org/package/2006/relationships">
  <Relationship Id="rId117" Type="http://schemas.openxmlformats.org/officeDocument/2006/relationships/ctrlProp" Target="../ctrlProps/ctrlProp114.xml" />
  <Relationship Id="rId21" Type="http://schemas.openxmlformats.org/officeDocument/2006/relationships/ctrlProp" Target="../ctrlProps/ctrlProp18.xml" />
  <Relationship Id="rId63" Type="http://schemas.openxmlformats.org/officeDocument/2006/relationships/ctrlProp" Target="../ctrlProps/ctrlProp60.xml" />
  <Relationship Id="rId159" Type="http://schemas.openxmlformats.org/officeDocument/2006/relationships/ctrlProp" Target="../ctrlProps/ctrlProp156.xml" />
  <Relationship Id="rId170" Type="http://schemas.openxmlformats.org/officeDocument/2006/relationships/ctrlProp" Target="../ctrlProps/ctrlProp167.xml" />
  <Relationship Id="rId191" Type="http://schemas.openxmlformats.org/officeDocument/2006/relationships/ctrlProp" Target="../ctrlProps/ctrlProp188.xml" />
  <Relationship Id="rId205" Type="http://schemas.openxmlformats.org/officeDocument/2006/relationships/ctrlProp" Target="../ctrlProps/ctrlProp202.xml" />
  <Relationship Id="rId226" Type="http://schemas.openxmlformats.org/officeDocument/2006/relationships/ctrlProp" Target="../ctrlProps/ctrlProp223.xml" />
  <Relationship Id="rId247" Type="http://schemas.openxmlformats.org/officeDocument/2006/relationships/ctrlProp" Target="../ctrlProps/ctrlProp244.xml" />
  <Relationship Id="rId107" Type="http://schemas.openxmlformats.org/officeDocument/2006/relationships/ctrlProp" Target="../ctrlProps/ctrlProp104.xml" />
  <Relationship Id="rId11" Type="http://schemas.openxmlformats.org/officeDocument/2006/relationships/ctrlProp" Target="../ctrlProps/ctrlProp8.xml" />
  <Relationship Id="rId32" Type="http://schemas.openxmlformats.org/officeDocument/2006/relationships/ctrlProp" Target="../ctrlProps/ctrlProp29.xml" />
  <Relationship Id="rId53" Type="http://schemas.openxmlformats.org/officeDocument/2006/relationships/ctrlProp" Target="../ctrlProps/ctrlProp50.xml" />
  <Relationship Id="rId74" Type="http://schemas.openxmlformats.org/officeDocument/2006/relationships/ctrlProp" Target="../ctrlProps/ctrlProp71.xml" />
  <Relationship Id="rId128" Type="http://schemas.openxmlformats.org/officeDocument/2006/relationships/ctrlProp" Target="../ctrlProps/ctrlProp125.xml" />
  <Relationship Id="rId149" Type="http://schemas.openxmlformats.org/officeDocument/2006/relationships/ctrlProp" Target="../ctrlProps/ctrlProp146.xml" />
  <Relationship Id="rId5" Type="http://schemas.openxmlformats.org/officeDocument/2006/relationships/ctrlProp" Target="../ctrlProps/ctrlProp2.xml" />
  <Relationship Id="rId95" Type="http://schemas.openxmlformats.org/officeDocument/2006/relationships/ctrlProp" Target="../ctrlProps/ctrlProp92.xml" />
  <Relationship Id="rId160" Type="http://schemas.openxmlformats.org/officeDocument/2006/relationships/ctrlProp" Target="../ctrlProps/ctrlProp157.xml" />
  <Relationship Id="rId181" Type="http://schemas.openxmlformats.org/officeDocument/2006/relationships/ctrlProp" Target="../ctrlProps/ctrlProp178.xml" />
  <Relationship Id="rId216" Type="http://schemas.openxmlformats.org/officeDocument/2006/relationships/ctrlProp" Target="../ctrlProps/ctrlProp213.xml" />
  <Relationship Id="rId237" Type="http://schemas.openxmlformats.org/officeDocument/2006/relationships/ctrlProp" Target="../ctrlProps/ctrlProp234.xml" />
  <Relationship Id="rId258" Type="http://schemas.openxmlformats.org/officeDocument/2006/relationships/ctrlProp" Target="../ctrlProps/ctrlProp255.xml" />
  <Relationship Id="rId22" Type="http://schemas.openxmlformats.org/officeDocument/2006/relationships/ctrlProp" Target="../ctrlProps/ctrlProp19.xml" />
  <Relationship Id="rId43" Type="http://schemas.openxmlformats.org/officeDocument/2006/relationships/ctrlProp" Target="../ctrlProps/ctrlProp40.xml" />
  <Relationship Id="rId64" Type="http://schemas.openxmlformats.org/officeDocument/2006/relationships/ctrlProp" Target="../ctrlProps/ctrlProp61.xml" />
  <Relationship Id="rId118" Type="http://schemas.openxmlformats.org/officeDocument/2006/relationships/ctrlProp" Target="../ctrlProps/ctrlProp115.xml" />
  <Relationship Id="rId139" Type="http://schemas.openxmlformats.org/officeDocument/2006/relationships/ctrlProp" Target="../ctrlProps/ctrlProp136.xml" />
  <Relationship Id="rId85" Type="http://schemas.openxmlformats.org/officeDocument/2006/relationships/ctrlProp" Target="../ctrlProps/ctrlProp82.xml" />
  <Relationship Id="rId150" Type="http://schemas.openxmlformats.org/officeDocument/2006/relationships/ctrlProp" Target="../ctrlProps/ctrlProp147.xml" />
  <Relationship Id="rId171" Type="http://schemas.openxmlformats.org/officeDocument/2006/relationships/ctrlProp" Target="../ctrlProps/ctrlProp168.xml" />
  <Relationship Id="rId192" Type="http://schemas.openxmlformats.org/officeDocument/2006/relationships/ctrlProp" Target="../ctrlProps/ctrlProp189.xml" />
  <Relationship Id="rId206" Type="http://schemas.openxmlformats.org/officeDocument/2006/relationships/ctrlProp" Target="../ctrlProps/ctrlProp203.xml" />
  <Relationship Id="rId227" Type="http://schemas.openxmlformats.org/officeDocument/2006/relationships/ctrlProp" Target="../ctrlProps/ctrlProp224.xml" />
  <Relationship Id="rId248" Type="http://schemas.openxmlformats.org/officeDocument/2006/relationships/ctrlProp" Target="../ctrlProps/ctrlProp245.xml" />
  <Relationship Id="rId12" Type="http://schemas.openxmlformats.org/officeDocument/2006/relationships/ctrlProp" Target="../ctrlProps/ctrlProp9.xml" />
  <Relationship Id="rId33" Type="http://schemas.openxmlformats.org/officeDocument/2006/relationships/ctrlProp" Target="../ctrlProps/ctrlProp30.xml" />
  <Relationship Id="rId108" Type="http://schemas.openxmlformats.org/officeDocument/2006/relationships/ctrlProp" Target="../ctrlProps/ctrlProp105.xml" />
  <Relationship Id="rId129" Type="http://schemas.openxmlformats.org/officeDocument/2006/relationships/ctrlProp" Target="../ctrlProps/ctrlProp126.xml" />
  <Relationship Id="rId54" Type="http://schemas.openxmlformats.org/officeDocument/2006/relationships/ctrlProp" Target="../ctrlProps/ctrlProp51.xml" />
  <Relationship Id="rId75" Type="http://schemas.openxmlformats.org/officeDocument/2006/relationships/ctrlProp" Target="../ctrlProps/ctrlProp72.xml" />
  <Relationship Id="rId96" Type="http://schemas.openxmlformats.org/officeDocument/2006/relationships/ctrlProp" Target="../ctrlProps/ctrlProp93.xml" />
  <Relationship Id="rId140" Type="http://schemas.openxmlformats.org/officeDocument/2006/relationships/ctrlProp" Target="../ctrlProps/ctrlProp137.xml" />
  <Relationship Id="rId161" Type="http://schemas.openxmlformats.org/officeDocument/2006/relationships/ctrlProp" Target="../ctrlProps/ctrlProp158.xml" />
  <Relationship Id="rId182" Type="http://schemas.openxmlformats.org/officeDocument/2006/relationships/ctrlProp" Target="../ctrlProps/ctrlProp179.xml" />
  <Relationship Id="rId217" Type="http://schemas.openxmlformats.org/officeDocument/2006/relationships/ctrlProp" Target="../ctrlProps/ctrlProp214.xml" />
  <Relationship Id="rId6" Type="http://schemas.openxmlformats.org/officeDocument/2006/relationships/ctrlProp" Target="../ctrlProps/ctrlProp3.xml" />
  <Relationship Id="rId238" Type="http://schemas.openxmlformats.org/officeDocument/2006/relationships/ctrlProp" Target="../ctrlProps/ctrlProp235.xml" />
  <Relationship Id="rId259" Type="http://schemas.openxmlformats.org/officeDocument/2006/relationships/ctrlProp" Target="../ctrlProps/ctrlProp256.xml" />
  <Relationship Id="rId23" Type="http://schemas.openxmlformats.org/officeDocument/2006/relationships/ctrlProp" Target="../ctrlProps/ctrlProp20.xml" />
  <Relationship Id="rId119" Type="http://schemas.openxmlformats.org/officeDocument/2006/relationships/ctrlProp" Target="../ctrlProps/ctrlProp116.xml" />
  <Relationship Id="rId44" Type="http://schemas.openxmlformats.org/officeDocument/2006/relationships/ctrlProp" Target="../ctrlProps/ctrlProp41.xml" />
  <Relationship Id="rId65" Type="http://schemas.openxmlformats.org/officeDocument/2006/relationships/ctrlProp" Target="../ctrlProps/ctrlProp62.xml" />
  <Relationship Id="rId86" Type="http://schemas.openxmlformats.org/officeDocument/2006/relationships/ctrlProp" Target="../ctrlProps/ctrlProp83.xml" />
  <Relationship Id="rId130" Type="http://schemas.openxmlformats.org/officeDocument/2006/relationships/ctrlProp" Target="../ctrlProps/ctrlProp127.xml" />
  <Relationship Id="rId151" Type="http://schemas.openxmlformats.org/officeDocument/2006/relationships/ctrlProp" Target="../ctrlProps/ctrlProp148.xml" />
  <Relationship Id="rId172" Type="http://schemas.openxmlformats.org/officeDocument/2006/relationships/ctrlProp" Target="../ctrlProps/ctrlProp169.xml" />
  <Relationship Id="rId193" Type="http://schemas.openxmlformats.org/officeDocument/2006/relationships/ctrlProp" Target="../ctrlProps/ctrlProp190.xml" />
  <Relationship Id="rId207" Type="http://schemas.openxmlformats.org/officeDocument/2006/relationships/ctrlProp" Target="../ctrlProps/ctrlProp204.xml" />
  <Relationship Id="rId228" Type="http://schemas.openxmlformats.org/officeDocument/2006/relationships/ctrlProp" Target="../ctrlProps/ctrlProp225.xml" />
  <Relationship Id="rId249" Type="http://schemas.openxmlformats.org/officeDocument/2006/relationships/ctrlProp" Target="../ctrlProps/ctrlProp246.xml" />
  <Relationship Id="rId13" Type="http://schemas.openxmlformats.org/officeDocument/2006/relationships/ctrlProp" Target="../ctrlProps/ctrlProp10.xml" />
  <Relationship Id="rId109" Type="http://schemas.openxmlformats.org/officeDocument/2006/relationships/ctrlProp" Target="../ctrlProps/ctrlProp106.xml" />
  <Relationship Id="rId260" Type="http://schemas.openxmlformats.org/officeDocument/2006/relationships/ctrlProp" Target="../ctrlProps/ctrlProp257.xml" />
  <Relationship Id="rId34" Type="http://schemas.openxmlformats.org/officeDocument/2006/relationships/ctrlProp" Target="../ctrlProps/ctrlProp31.xml" />
  <Relationship Id="rId55" Type="http://schemas.openxmlformats.org/officeDocument/2006/relationships/ctrlProp" Target="../ctrlProps/ctrlProp52.xml" />
  <Relationship Id="rId76" Type="http://schemas.openxmlformats.org/officeDocument/2006/relationships/ctrlProp" Target="../ctrlProps/ctrlProp73.xml" />
  <Relationship Id="rId97" Type="http://schemas.openxmlformats.org/officeDocument/2006/relationships/ctrlProp" Target="../ctrlProps/ctrlProp94.xml" />
  <Relationship Id="rId120" Type="http://schemas.openxmlformats.org/officeDocument/2006/relationships/ctrlProp" Target="../ctrlProps/ctrlProp117.xml" />
  <Relationship Id="rId141" Type="http://schemas.openxmlformats.org/officeDocument/2006/relationships/ctrlProp" Target="../ctrlProps/ctrlProp138.xml" />
  <Relationship Id="rId7" Type="http://schemas.openxmlformats.org/officeDocument/2006/relationships/ctrlProp" Target="../ctrlProps/ctrlProp4.xml" />
  <Relationship Id="rId162" Type="http://schemas.openxmlformats.org/officeDocument/2006/relationships/ctrlProp" Target="../ctrlProps/ctrlProp159.xml" />
  <Relationship Id="rId183" Type="http://schemas.openxmlformats.org/officeDocument/2006/relationships/ctrlProp" Target="../ctrlProps/ctrlProp180.xml" />
  <Relationship Id="rId218" Type="http://schemas.openxmlformats.org/officeDocument/2006/relationships/ctrlProp" Target="../ctrlProps/ctrlProp215.xml" />
  <Relationship Id="rId239" Type="http://schemas.openxmlformats.org/officeDocument/2006/relationships/ctrlProp" Target="../ctrlProps/ctrlProp236.xml" />
  <Relationship Id="rId250" Type="http://schemas.openxmlformats.org/officeDocument/2006/relationships/ctrlProp" Target="../ctrlProps/ctrlProp247.xml" />
  <Relationship Id="rId24" Type="http://schemas.openxmlformats.org/officeDocument/2006/relationships/ctrlProp" Target="../ctrlProps/ctrlProp21.xml" />
  <Relationship Id="rId45" Type="http://schemas.openxmlformats.org/officeDocument/2006/relationships/ctrlProp" Target="../ctrlProps/ctrlProp42.xml" />
  <Relationship Id="rId66" Type="http://schemas.openxmlformats.org/officeDocument/2006/relationships/ctrlProp" Target="../ctrlProps/ctrlProp63.xml" />
  <Relationship Id="rId87" Type="http://schemas.openxmlformats.org/officeDocument/2006/relationships/ctrlProp" Target="../ctrlProps/ctrlProp84.xml" />
  <Relationship Id="rId110" Type="http://schemas.openxmlformats.org/officeDocument/2006/relationships/ctrlProp" Target="../ctrlProps/ctrlProp107.xml" />
  <Relationship Id="rId131" Type="http://schemas.openxmlformats.org/officeDocument/2006/relationships/ctrlProp" Target="../ctrlProps/ctrlProp128.xml" />
  <Relationship Id="rId152" Type="http://schemas.openxmlformats.org/officeDocument/2006/relationships/ctrlProp" Target="../ctrlProps/ctrlProp149.xml" />
  <Relationship Id="rId173" Type="http://schemas.openxmlformats.org/officeDocument/2006/relationships/ctrlProp" Target="../ctrlProps/ctrlProp170.xml" />
  <Relationship Id="rId194" Type="http://schemas.openxmlformats.org/officeDocument/2006/relationships/ctrlProp" Target="../ctrlProps/ctrlProp191.xml" />
  <Relationship Id="rId208" Type="http://schemas.openxmlformats.org/officeDocument/2006/relationships/ctrlProp" Target="../ctrlProps/ctrlProp205.xml" />
  <Relationship Id="rId229" Type="http://schemas.openxmlformats.org/officeDocument/2006/relationships/ctrlProp" Target="../ctrlProps/ctrlProp226.xml" />
  <Relationship Id="rId240" Type="http://schemas.openxmlformats.org/officeDocument/2006/relationships/ctrlProp" Target="../ctrlProps/ctrlProp237.xml" />
  <Relationship Id="rId261" Type="http://schemas.openxmlformats.org/officeDocument/2006/relationships/ctrlProp" Target="../ctrlProps/ctrlProp258.xml" />
  <Relationship Id="rId14" Type="http://schemas.openxmlformats.org/officeDocument/2006/relationships/ctrlProp" Target="../ctrlProps/ctrlProp11.xml" />
  <Relationship Id="rId35" Type="http://schemas.openxmlformats.org/officeDocument/2006/relationships/ctrlProp" Target="../ctrlProps/ctrlProp32.xml" />
  <Relationship Id="rId56" Type="http://schemas.openxmlformats.org/officeDocument/2006/relationships/ctrlProp" Target="../ctrlProps/ctrlProp53.xml" />
  <Relationship Id="rId77" Type="http://schemas.openxmlformats.org/officeDocument/2006/relationships/ctrlProp" Target="../ctrlProps/ctrlProp74.xml" />
  <Relationship Id="rId100" Type="http://schemas.openxmlformats.org/officeDocument/2006/relationships/ctrlProp" Target="../ctrlProps/ctrlProp97.xml" />
  <Relationship Id="rId8" Type="http://schemas.openxmlformats.org/officeDocument/2006/relationships/ctrlProp" Target="../ctrlProps/ctrlProp5.xml" />
  <Relationship Id="rId98" Type="http://schemas.openxmlformats.org/officeDocument/2006/relationships/ctrlProp" Target="../ctrlProps/ctrlProp95.xml" />
  <Relationship Id="rId121" Type="http://schemas.openxmlformats.org/officeDocument/2006/relationships/ctrlProp" Target="../ctrlProps/ctrlProp118.xml" />
  <Relationship Id="rId142" Type="http://schemas.openxmlformats.org/officeDocument/2006/relationships/ctrlProp" Target="../ctrlProps/ctrlProp139.xml" />
  <Relationship Id="rId163" Type="http://schemas.openxmlformats.org/officeDocument/2006/relationships/ctrlProp" Target="../ctrlProps/ctrlProp160.xml" />
  <Relationship Id="rId184" Type="http://schemas.openxmlformats.org/officeDocument/2006/relationships/ctrlProp" Target="../ctrlProps/ctrlProp181.xml" />
  <Relationship Id="rId219" Type="http://schemas.openxmlformats.org/officeDocument/2006/relationships/ctrlProp" Target="../ctrlProps/ctrlProp216.xml" />
  <Relationship Id="rId230" Type="http://schemas.openxmlformats.org/officeDocument/2006/relationships/ctrlProp" Target="../ctrlProps/ctrlProp227.xml" />
  <Relationship Id="rId251" Type="http://schemas.openxmlformats.org/officeDocument/2006/relationships/ctrlProp" Target="../ctrlProps/ctrlProp248.xml" />
  <Relationship Id="rId25" Type="http://schemas.openxmlformats.org/officeDocument/2006/relationships/ctrlProp" Target="../ctrlProps/ctrlProp22.xml" />
  <Relationship Id="rId46" Type="http://schemas.openxmlformats.org/officeDocument/2006/relationships/ctrlProp" Target="../ctrlProps/ctrlProp43.xml" />
  <Relationship Id="rId67" Type="http://schemas.openxmlformats.org/officeDocument/2006/relationships/ctrlProp" Target="../ctrlProps/ctrlProp64.xml" />
  <Relationship Id="rId88" Type="http://schemas.openxmlformats.org/officeDocument/2006/relationships/ctrlProp" Target="../ctrlProps/ctrlProp85.xml" />
  <Relationship Id="rId111" Type="http://schemas.openxmlformats.org/officeDocument/2006/relationships/ctrlProp" Target="../ctrlProps/ctrlProp108.xml" />
  <Relationship Id="rId132" Type="http://schemas.openxmlformats.org/officeDocument/2006/relationships/ctrlProp" Target="../ctrlProps/ctrlProp129.xml" />
  <Relationship Id="rId153" Type="http://schemas.openxmlformats.org/officeDocument/2006/relationships/ctrlProp" Target="../ctrlProps/ctrlProp150.xml" />
  <Relationship Id="rId174" Type="http://schemas.openxmlformats.org/officeDocument/2006/relationships/ctrlProp" Target="../ctrlProps/ctrlProp171.xml" />
  <Relationship Id="rId195" Type="http://schemas.openxmlformats.org/officeDocument/2006/relationships/ctrlProp" Target="../ctrlProps/ctrlProp192.xml" />
  <Relationship Id="rId209" Type="http://schemas.openxmlformats.org/officeDocument/2006/relationships/ctrlProp" Target="../ctrlProps/ctrlProp206.xml" />
  <Relationship Id="rId220" Type="http://schemas.openxmlformats.org/officeDocument/2006/relationships/ctrlProp" Target="../ctrlProps/ctrlProp217.xml" />
  <Relationship Id="rId241" Type="http://schemas.openxmlformats.org/officeDocument/2006/relationships/ctrlProp" Target="../ctrlProps/ctrlProp238.xml" />
  <Relationship Id="rId15" Type="http://schemas.openxmlformats.org/officeDocument/2006/relationships/ctrlProp" Target="../ctrlProps/ctrlProp12.xml" />
  <Relationship Id="rId36" Type="http://schemas.openxmlformats.org/officeDocument/2006/relationships/ctrlProp" Target="../ctrlProps/ctrlProp33.xml" />
  <Relationship Id="rId57" Type="http://schemas.openxmlformats.org/officeDocument/2006/relationships/ctrlProp" Target="../ctrlProps/ctrlProp54.xml" />
  <Relationship Id="rId78" Type="http://schemas.openxmlformats.org/officeDocument/2006/relationships/ctrlProp" Target="../ctrlProps/ctrlProp75.xml" />
  <Relationship Id="rId99" Type="http://schemas.openxmlformats.org/officeDocument/2006/relationships/ctrlProp" Target="../ctrlProps/ctrlProp96.xml" />
  <Relationship Id="rId101" Type="http://schemas.openxmlformats.org/officeDocument/2006/relationships/ctrlProp" Target="../ctrlProps/ctrlProp98.xml" />
  <Relationship Id="rId122" Type="http://schemas.openxmlformats.org/officeDocument/2006/relationships/ctrlProp" Target="../ctrlProps/ctrlProp119.xml" />
  <Relationship Id="rId143" Type="http://schemas.openxmlformats.org/officeDocument/2006/relationships/ctrlProp" Target="../ctrlProps/ctrlProp140.xml" />
  <Relationship Id="rId164" Type="http://schemas.openxmlformats.org/officeDocument/2006/relationships/ctrlProp" Target="../ctrlProps/ctrlProp161.xml" />
  <Relationship Id="rId185" Type="http://schemas.openxmlformats.org/officeDocument/2006/relationships/ctrlProp" Target="../ctrlProps/ctrlProp182.xml" />
  <Relationship Id="rId9" Type="http://schemas.openxmlformats.org/officeDocument/2006/relationships/ctrlProp" Target="../ctrlProps/ctrlProp6.xml" />
  <Relationship Id="rId210" Type="http://schemas.openxmlformats.org/officeDocument/2006/relationships/ctrlProp" Target="../ctrlProps/ctrlProp207.xml" />
  <Relationship Id="rId26" Type="http://schemas.openxmlformats.org/officeDocument/2006/relationships/ctrlProp" Target="../ctrlProps/ctrlProp23.xml" />
  <Relationship Id="rId231" Type="http://schemas.openxmlformats.org/officeDocument/2006/relationships/ctrlProp" Target="../ctrlProps/ctrlProp228.xml" />
  <Relationship Id="rId252" Type="http://schemas.openxmlformats.org/officeDocument/2006/relationships/ctrlProp" Target="../ctrlProps/ctrlProp249.xml" />
  <Relationship Id="rId47" Type="http://schemas.openxmlformats.org/officeDocument/2006/relationships/ctrlProp" Target="../ctrlProps/ctrlProp44.xml" />
  <Relationship Id="rId68" Type="http://schemas.openxmlformats.org/officeDocument/2006/relationships/ctrlProp" Target="../ctrlProps/ctrlProp65.xml" />
  <Relationship Id="rId89" Type="http://schemas.openxmlformats.org/officeDocument/2006/relationships/ctrlProp" Target="../ctrlProps/ctrlProp86.xml" />
  <Relationship Id="rId112" Type="http://schemas.openxmlformats.org/officeDocument/2006/relationships/ctrlProp" Target="../ctrlProps/ctrlProp109.xml" />
  <Relationship Id="rId133" Type="http://schemas.openxmlformats.org/officeDocument/2006/relationships/ctrlProp" Target="../ctrlProps/ctrlProp130.xml" />
  <Relationship Id="rId154" Type="http://schemas.openxmlformats.org/officeDocument/2006/relationships/ctrlProp" Target="../ctrlProps/ctrlProp151.xml" />
  <Relationship Id="rId175" Type="http://schemas.openxmlformats.org/officeDocument/2006/relationships/ctrlProp" Target="../ctrlProps/ctrlProp172.xml" />
  <Relationship Id="rId196" Type="http://schemas.openxmlformats.org/officeDocument/2006/relationships/ctrlProp" Target="../ctrlProps/ctrlProp193.xml" />
  <Relationship Id="rId200" Type="http://schemas.openxmlformats.org/officeDocument/2006/relationships/ctrlProp" Target="../ctrlProps/ctrlProp197.xml" />
  <Relationship Id="rId16" Type="http://schemas.openxmlformats.org/officeDocument/2006/relationships/ctrlProp" Target="../ctrlProps/ctrlProp13.xml" />
  <Relationship Id="rId221" Type="http://schemas.openxmlformats.org/officeDocument/2006/relationships/ctrlProp" Target="../ctrlProps/ctrlProp218.xml" />
  <Relationship Id="rId242" Type="http://schemas.openxmlformats.org/officeDocument/2006/relationships/ctrlProp" Target="../ctrlProps/ctrlProp239.xml" />
  <Relationship Id="rId37" Type="http://schemas.openxmlformats.org/officeDocument/2006/relationships/ctrlProp" Target="../ctrlProps/ctrlProp34.xml" />
  <Relationship Id="rId58" Type="http://schemas.openxmlformats.org/officeDocument/2006/relationships/ctrlProp" Target="../ctrlProps/ctrlProp55.xml" />
  <Relationship Id="rId79" Type="http://schemas.openxmlformats.org/officeDocument/2006/relationships/ctrlProp" Target="../ctrlProps/ctrlProp76.xml" />
  <Relationship Id="rId102" Type="http://schemas.openxmlformats.org/officeDocument/2006/relationships/ctrlProp" Target="../ctrlProps/ctrlProp99.xml" />
  <Relationship Id="rId123" Type="http://schemas.openxmlformats.org/officeDocument/2006/relationships/ctrlProp" Target="../ctrlProps/ctrlProp120.xml" />
  <Relationship Id="rId144" Type="http://schemas.openxmlformats.org/officeDocument/2006/relationships/ctrlProp" Target="../ctrlProps/ctrlProp141.xml" />
  <Relationship Id="rId90" Type="http://schemas.openxmlformats.org/officeDocument/2006/relationships/ctrlProp" Target="../ctrlProps/ctrlProp87.xml" />
  <Relationship Id="rId165" Type="http://schemas.openxmlformats.org/officeDocument/2006/relationships/ctrlProp" Target="../ctrlProps/ctrlProp162.xml" />
  <Relationship Id="rId186" Type="http://schemas.openxmlformats.org/officeDocument/2006/relationships/ctrlProp" Target="../ctrlProps/ctrlProp183.xml" />
  <Relationship Id="rId211" Type="http://schemas.openxmlformats.org/officeDocument/2006/relationships/ctrlProp" Target="../ctrlProps/ctrlProp208.xml" />
  <Relationship Id="rId232" Type="http://schemas.openxmlformats.org/officeDocument/2006/relationships/ctrlProp" Target="../ctrlProps/ctrlProp229.xml" />
  <Relationship Id="rId253" Type="http://schemas.openxmlformats.org/officeDocument/2006/relationships/ctrlProp" Target="../ctrlProps/ctrlProp250.xml" />
  <Relationship Id="rId27" Type="http://schemas.openxmlformats.org/officeDocument/2006/relationships/ctrlProp" Target="../ctrlProps/ctrlProp24.xml" />
  <Relationship Id="rId48" Type="http://schemas.openxmlformats.org/officeDocument/2006/relationships/ctrlProp" Target="../ctrlProps/ctrlProp45.xml" />
  <Relationship Id="rId69" Type="http://schemas.openxmlformats.org/officeDocument/2006/relationships/ctrlProp" Target="../ctrlProps/ctrlProp66.xml" />
  <Relationship Id="rId113" Type="http://schemas.openxmlformats.org/officeDocument/2006/relationships/ctrlProp" Target="../ctrlProps/ctrlProp110.xml" />
  <Relationship Id="rId134" Type="http://schemas.openxmlformats.org/officeDocument/2006/relationships/ctrlProp" Target="../ctrlProps/ctrlProp131.xml" />
  <Relationship Id="rId80" Type="http://schemas.openxmlformats.org/officeDocument/2006/relationships/ctrlProp" Target="../ctrlProps/ctrlProp77.xml" />
  <Relationship Id="rId155" Type="http://schemas.openxmlformats.org/officeDocument/2006/relationships/ctrlProp" Target="../ctrlProps/ctrlProp152.xml" />
  <Relationship Id="rId176" Type="http://schemas.openxmlformats.org/officeDocument/2006/relationships/ctrlProp" Target="../ctrlProps/ctrlProp173.xml" />
  <Relationship Id="rId197" Type="http://schemas.openxmlformats.org/officeDocument/2006/relationships/ctrlProp" Target="../ctrlProps/ctrlProp194.xml" />
  <Relationship Id="rId201" Type="http://schemas.openxmlformats.org/officeDocument/2006/relationships/ctrlProp" Target="../ctrlProps/ctrlProp198.xml" />
  <Relationship Id="rId222" Type="http://schemas.openxmlformats.org/officeDocument/2006/relationships/ctrlProp" Target="../ctrlProps/ctrlProp219.xml" />
  <Relationship Id="rId243" Type="http://schemas.openxmlformats.org/officeDocument/2006/relationships/ctrlProp" Target="../ctrlProps/ctrlProp240.xml" />
  <Relationship Id="rId17" Type="http://schemas.openxmlformats.org/officeDocument/2006/relationships/ctrlProp" Target="../ctrlProps/ctrlProp14.xml" />
  <Relationship Id="rId38" Type="http://schemas.openxmlformats.org/officeDocument/2006/relationships/ctrlProp" Target="../ctrlProps/ctrlProp35.xml" />
  <Relationship Id="rId59" Type="http://schemas.openxmlformats.org/officeDocument/2006/relationships/ctrlProp" Target="../ctrlProps/ctrlProp56.xml" />
  <Relationship Id="rId103" Type="http://schemas.openxmlformats.org/officeDocument/2006/relationships/ctrlProp" Target="../ctrlProps/ctrlProp100.xml" />
  <Relationship Id="rId124" Type="http://schemas.openxmlformats.org/officeDocument/2006/relationships/ctrlProp" Target="../ctrlProps/ctrlProp121.xml" />
  <Relationship Id="rId70" Type="http://schemas.openxmlformats.org/officeDocument/2006/relationships/ctrlProp" Target="../ctrlProps/ctrlProp67.xml" />
  <Relationship Id="rId91" Type="http://schemas.openxmlformats.org/officeDocument/2006/relationships/ctrlProp" Target="../ctrlProps/ctrlProp88.xml" />
  <Relationship Id="rId145" Type="http://schemas.openxmlformats.org/officeDocument/2006/relationships/ctrlProp" Target="../ctrlProps/ctrlProp142.xml" />
  <Relationship Id="rId166" Type="http://schemas.openxmlformats.org/officeDocument/2006/relationships/ctrlProp" Target="../ctrlProps/ctrlProp163.xml" />
  <Relationship Id="rId187" Type="http://schemas.openxmlformats.org/officeDocument/2006/relationships/ctrlProp" Target="../ctrlProps/ctrlProp184.xml" />
  <Relationship Id="rId1" Type="http://schemas.openxmlformats.org/officeDocument/2006/relationships/printerSettings" Target="../printerSettings/printerSettings19.bin" />
  <Relationship Id="rId212" Type="http://schemas.openxmlformats.org/officeDocument/2006/relationships/ctrlProp" Target="../ctrlProps/ctrlProp209.xml" />
  <Relationship Id="rId233" Type="http://schemas.openxmlformats.org/officeDocument/2006/relationships/ctrlProp" Target="../ctrlProps/ctrlProp230.xml" />
  <Relationship Id="rId254" Type="http://schemas.openxmlformats.org/officeDocument/2006/relationships/ctrlProp" Target="../ctrlProps/ctrlProp251.xml" />
  <Relationship Id="rId28" Type="http://schemas.openxmlformats.org/officeDocument/2006/relationships/ctrlProp" Target="../ctrlProps/ctrlProp25.xml" />
  <Relationship Id="rId49" Type="http://schemas.openxmlformats.org/officeDocument/2006/relationships/ctrlProp" Target="../ctrlProps/ctrlProp46.xml" />
  <Relationship Id="rId114" Type="http://schemas.openxmlformats.org/officeDocument/2006/relationships/ctrlProp" Target="../ctrlProps/ctrlProp111.xml" />
  <Relationship Id="rId60" Type="http://schemas.openxmlformats.org/officeDocument/2006/relationships/ctrlProp" Target="../ctrlProps/ctrlProp57.xml" />
  <Relationship Id="rId81" Type="http://schemas.openxmlformats.org/officeDocument/2006/relationships/ctrlProp" Target="../ctrlProps/ctrlProp78.xml" />
  <Relationship Id="rId135" Type="http://schemas.openxmlformats.org/officeDocument/2006/relationships/ctrlProp" Target="../ctrlProps/ctrlProp132.xml" />
  <Relationship Id="rId156" Type="http://schemas.openxmlformats.org/officeDocument/2006/relationships/ctrlProp" Target="../ctrlProps/ctrlProp153.xml" />
  <Relationship Id="rId177" Type="http://schemas.openxmlformats.org/officeDocument/2006/relationships/ctrlProp" Target="../ctrlProps/ctrlProp174.xml" />
  <Relationship Id="rId198" Type="http://schemas.openxmlformats.org/officeDocument/2006/relationships/ctrlProp" Target="../ctrlProps/ctrlProp195.xml" />
  <Relationship Id="rId202" Type="http://schemas.openxmlformats.org/officeDocument/2006/relationships/ctrlProp" Target="../ctrlProps/ctrlProp199.xml" />
  <Relationship Id="rId223" Type="http://schemas.openxmlformats.org/officeDocument/2006/relationships/ctrlProp" Target="../ctrlProps/ctrlProp220.xml" />
  <Relationship Id="rId244" Type="http://schemas.openxmlformats.org/officeDocument/2006/relationships/ctrlProp" Target="../ctrlProps/ctrlProp241.xml" />
  <Relationship Id="rId18" Type="http://schemas.openxmlformats.org/officeDocument/2006/relationships/ctrlProp" Target="../ctrlProps/ctrlProp15.xml" />
  <Relationship Id="rId39" Type="http://schemas.openxmlformats.org/officeDocument/2006/relationships/ctrlProp" Target="../ctrlProps/ctrlProp36.xml" />
  <Relationship Id="rId50" Type="http://schemas.openxmlformats.org/officeDocument/2006/relationships/ctrlProp" Target="../ctrlProps/ctrlProp47.xml" />
  <Relationship Id="rId104" Type="http://schemas.openxmlformats.org/officeDocument/2006/relationships/ctrlProp" Target="../ctrlProps/ctrlProp101.xml" />
  <Relationship Id="rId125" Type="http://schemas.openxmlformats.org/officeDocument/2006/relationships/ctrlProp" Target="../ctrlProps/ctrlProp122.xml" />
  <Relationship Id="rId146" Type="http://schemas.openxmlformats.org/officeDocument/2006/relationships/ctrlProp" Target="../ctrlProps/ctrlProp143.xml" />
  <Relationship Id="rId167" Type="http://schemas.openxmlformats.org/officeDocument/2006/relationships/ctrlProp" Target="../ctrlProps/ctrlProp164.xml" />
  <Relationship Id="rId188" Type="http://schemas.openxmlformats.org/officeDocument/2006/relationships/ctrlProp" Target="../ctrlProps/ctrlProp185.xml" />
  <Relationship Id="rId71" Type="http://schemas.openxmlformats.org/officeDocument/2006/relationships/ctrlProp" Target="../ctrlProps/ctrlProp68.xml" />
  <Relationship Id="rId92" Type="http://schemas.openxmlformats.org/officeDocument/2006/relationships/ctrlProp" Target="../ctrlProps/ctrlProp89.xml" />
  <Relationship Id="rId213" Type="http://schemas.openxmlformats.org/officeDocument/2006/relationships/ctrlProp" Target="../ctrlProps/ctrlProp210.xml" />
  <Relationship Id="rId234" Type="http://schemas.openxmlformats.org/officeDocument/2006/relationships/ctrlProp" Target="../ctrlProps/ctrlProp231.xml" />
  <Relationship Id="rId2" Type="http://schemas.openxmlformats.org/officeDocument/2006/relationships/drawing" Target="../drawings/drawing25.xml" />
  <Relationship Id="rId29" Type="http://schemas.openxmlformats.org/officeDocument/2006/relationships/ctrlProp" Target="../ctrlProps/ctrlProp26.xml" />
  <Relationship Id="rId255" Type="http://schemas.openxmlformats.org/officeDocument/2006/relationships/ctrlProp" Target="../ctrlProps/ctrlProp252.xml" />
  <Relationship Id="rId40" Type="http://schemas.openxmlformats.org/officeDocument/2006/relationships/ctrlProp" Target="../ctrlProps/ctrlProp37.xml" />
  <Relationship Id="rId115" Type="http://schemas.openxmlformats.org/officeDocument/2006/relationships/ctrlProp" Target="../ctrlProps/ctrlProp112.xml" />
  <Relationship Id="rId136" Type="http://schemas.openxmlformats.org/officeDocument/2006/relationships/ctrlProp" Target="../ctrlProps/ctrlProp133.xml" />
  <Relationship Id="rId157" Type="http://schemas.openxmlformats.org/officeDocument/2006/relationships/ctrlProp" Target="../ctrlProps/ctrlProp154.xml" />
  <Relationship Id="rId178" Type="http://schemas.openxmlformats.org/officeDocument/2006/relationships/ctrlProp" Target="../ctrlProps/ctrlProp175.xml" />
  <Relationship Id="rId61" Type="http://schemas.openxmlformats.org/officeDocument/2006/relationships/ctrlProp" Target="../ctrlProps/ctrlProp58.xml" />
  <Relationship Id="rId82" Type="http://schemas.openxmlformats.org/officeDocument/2006/relationships/ctrlProp" Target="../ctrlProps/ctrlProp79.xml" />
  <Relationship Id="rId199" Type="http://schemas.openxmlformats.org/officeDocument/2006/relationships/ctrlProp" Target="../ctrlProps/ctrlProp196.xml" />
  <Relationship Id="rId203" Type="http://schemas.openxmlformats.org/officeDocument/2006/relationships/ctrlProp" Target="../ctrlProps/ctrlProp200.xml" />
  <Relationship Id="rId19" Type="http://schemas.openxmlformats.org/officeDocument/2006/relationships/ctrlProp" Target="../ctrlProps/ctrlProp16.xml" />
  <Relationship Id="rId224" Type="http://schemas.openxmlformats.org/officeDocument/2006/relationships/ctrlProp" Target="../ctrlProps/ctrlProp221.xml" />
  <Relationship Id="rId245" Type="http://schemas.openxmlformats.org/officeDocument/2006/relationships/ctrlProp" Target="../ctrlProps/ctrlProp242.xml" />
  <Relationship Id="rId30" Type="http://schemas.openxmlformats.org/officeDocument/2006/relationships/ctrlProp" Target="../ctrlProps/ctrlProp27.xml" />
  <Relationship Id="rId105" Type="http://schemas.openxmlformats.org/officeDocument/2006/relationships/ctrlProp" Target="../ctrlProps/ctrlProp102.xml" />
  <Relationship Id="rId126" Type="http://schemas.openxmlformats.org/officeDocument/2006/relationships/ctrlProp" Target="../ctrlProps/ctrlProp123.xml" />
  <Relationship Id="rId147" Type="http://schemas.openxmlformats.org/officeDocument/2006/relationships/ctrlProp" Target="../ctrlProps/ctrlProp144.xml" />
  <Relationship Id="rId168" Type="http://schemas.openxmlformats.org/officeDocument/2006/relationships/ctrlProp" Target="../ctrlProps/ctrlProp165.xml" />
  <Relationship Id="rId51" Type="http://schemas.openxmlformats.org/officeDocument/2006/relationships/ctrlProp" Target="../ctrlProps/ctrlProp48.xml" />
  <Relationship Id="rId72" Type="http://schemas.openxmlformats.org/officeDocument/2006/relationships/ctrlProp" Target="../ctrlProps/ctrlProp69.xml" />
  <Relationship Id="rId93" Type="http://schemas.openxmlformats.org/officeDocument/2006/relationships/ctrlProp" Target="../ctrlProps/ctrlProp90.xml" />
  <Relationship Id="rId189" Type="http://schemas.openxmlformats.org/officeDocument/2006/relationships/ctrlProp" Target="../ctrlProps/ctrlProp186.xml" />
  <Relationship Id="rId3" Type="http://schemas.openxmlformats.org/officeDocument/2006/relationships/vmlDrawing" Target="../drawings/vmlDrawing4.vml" />
  <Relationship Id="rId214" Type="http://schemas.openxmlformats.org/officeDocument/2006/relationships/ctrlProp" Target="../ctrlProps/ctrlProp211.xml" />
  <Relationship Id="rId235" Type="http://schemas.openxmlformats.org/officeDocument/2006/relationships/ctrlProp" Target="../ctrlProps/ctrlProp232.xml" />
  <Relationship Id="rId256" Type="http://schemas.openxmlformats.org/officeDocument/2006/relationships/ctrlProp" Target="../ctrlProps/ctrlProp253.xml" />
  <Relationship Id="rId116" Type="http://schemas.openxmlformats.org/officeDocument/2006/relationships/ctrlProp" Target="../ctrlProps/ctrlProp113.xml" />
  <Relationship Id="rId137" Type="http://schemas.openxmlformats.org/officeDocument/2006/relationships/ctrlProp" Target="../ctrlProps/ctrlProp134.xml" />
  <Relationship Id="rId158" Type="http://schemas.openxmlformats.org/officeDocument/2006/relationships/ctrlProp" Target="../ctrlProps/ctrlProp155.xml" />
  <Relationship Id="rId20" Type="http://schemas.openxmlformats.org/officeDocument/2006/relationships/ctrlProp" Target="../ctrlProps/ctrlProp17.xml" />
  <Relationship Id="rId41" Type="http://schemas.openxmlformats.org/officeDocument/2006/relationships/ctrlProp" Target="../ctrlProps/ctrlProp38.xml" />
  <Relationship Id="rId62" Type="http://schemas.openxmlformats.org/officeDocument/2006/relationships/ctrlProp" Target="../ctrlProps/ctrlProp59.xml" />
  <Relationship Id="rId83" Type="http://schemas.openxmlformats.org/officeDocument/2006/relationships/ctrlProp" Target="../ctrlProps/ctrlProp80.xml" />
  <Relationship Id="rId179" Type="http://schemas.openxmlformats.org/officeDocument/2006/relationships/ctrlProp" Target="../ctrlProps/ctrlProp176.xml" />
  <Relationship Id="rId190" Type="http://schemas.openxmlformats.org/officeDocument/2006/relationships/ctrlProp" Target="../ctrlProps/ctrlProp187.xml" />
  <Relationship Id="rId204" Type="http://schemas.openxmlformats.org/officeDocument/2006/relationships/ctrlProp" Target="../ctrlProps/ctrlProp201.xml" />
  <Relationship Id="rId225" Type="http://schemas.openxmlformats.org/officeDocument/2006/relationships/ctrlProp" Target="../ctrlProps/ctrlProp222.xml" />
  <Relationship Id="rId246" Type="http://schemas.openxmlformats.org/officeDocument/2006/relationships/ctrlProp" Target="../ctrlProps/ctrlProp243.xml" />
  <Relationship Id="rId106" Type="http://schemas.openxmlformats.org/officeDocument/2006/relationships/ctrlProp" Target="../ctrlProps/ctrlProp103.xml" />
  <Relationship Id="rId127" Type="http://schemas.openxmlformats.org/officeDocument/2006/relationships/ctrlProp" Target="../ctrlProps/ctrlProp124.xml" />
  <Relationship Id="rId10" Type="http://schemas.openxmlformats.org/officeDocument/2006/relationships/ctrlProp" Target="../ctrlProps/ctrlProp7.xml" />
  <Relationship Id="rId31" Type="http://schemas.openxmlformats.org/officeDocument/2006/relationships/ctrlProp" Target="../ctrlProps/ctrlProp28.xml" />
  <Relationship Id="rId52" Type="http://schemas.openxmlformats.org/officeDocument/2006/relationships/ctrlProp" Target="../ctrlProps/ctrlProp49.xml" />
  <Relationship Id="rId73" Type="http://schemas.openxmlformats.org/officeDocument/2006/relationships/ctrlProp" Target="../ctrlProps/ctrlProp70.xml" />
  <Relationship Id="rId94" Type="http://schemas.openxmlformats.org/officeDocument/2006/relationships/ctrlProp" Target="../ctrlProps/ctrlProp91.xml" />
  <Relationship Id="rId148" Type="http://schemas.openxmlformats.org/officeDocument/2006/relationships/ctrlProp" Target="../ctrlProps/ctrlProp145.xml" />
  <Relationship Id="rId169" Type="http://schemas.openxmlformats.org/officeDocument/2006/relationships/ctrlProp" Target="../ctrlProps/ctrlProp166.xml" />
  <Relationship Id="rId4" Type="http://schemas.openxmlformats.org/officeDocument/2006/relationships/ctrlProp" Target="../ctrlProps/ctrlProp1.xml" />
  <Relationship Id="rId180" Type="http://schemas.openxmlformats.org/officeDocument/2006/relationships/ctrlProp" Target="../ctrlProps/ctrlProp177.xml" />
  <Relationship Id="rId215" Type="http://schemas.openxmlformats.org/officeDocument/2006/relationships/ctrlProp" Target="../ctrlProps/ctrlProp212.xml" />
  <Relationship Id="rId236" Type="http://schemas.openxmlformats.org/officeDocument/2006/relationships/ctrlProp" Target="../ctrlProps/ctrlProp233.xml" />
  <Relationship Id="rId257" Type="http://schemas.openxmlformats.org/officeDocument/2006/relationships/ctrlProp" Target="../ctrlProps/ctrlProp254.xml" />
  <Relationship Id="rId42" Type="http://schemas.openxmlformats.org/officeDocument/2006/relationships/ctrlProp" Target="../ctrlProps/ctrlProp39.xml" />
  <Relationship Id="rId84" Type="http://schemas.openxmlformats.org/officeDocument/2006/relationships/ctrlProp" Target="../ctrlProps/ctrlProp81.xml" />
  <Relationship Id="rId138" Type="http://schemas.openxmlformats.org/officeDocument/2006/relationships/ctrlProp" Target="../ctrlProps/ctrlProp135.xml"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2" Type="http://schemas.openxmlformats.org/officeDocument/2006/relationships/drawing" Target="../drawings/drawing26.xml" />
  <Relationship Id="rId1" Type="http://schemas.openxmlformats.org/officeDocument/2006/relationships/printerSettings" Target="../printerSettings/printerSettings21.bin" />
</Relationships>
</file>

<file path=xl/worksheets/_rels/sheet22.xml.rels>&#65279;<?xml version="1.0" encoding="utf-8" standalone="yes"?>
<Relationships xmlns="http://schemas.openxmlformats.org/package/2006/relationships">
  <Relationship Id="rId2" Type="http://schemas.openxmlformats.org/officeDocument/2006/relationships/drawing" Target="../drawings/drawing27.xml" />
  <Relationship Id="rId1" Type="http://schemas.openxmlformats.org/officeDocument/2006/relationships/printerSettings" Target="../printerSettings/printerSettings22.bin"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2.xml" />
  <Relationship Id="rId1" Type="http://schemas.openxmlformats.org/officeDocument/2006/relationships/printerSettings" Target="../printerSettings/printerSettings3.bin" />
  <Relationship Id="rId4" Type="http://schemas.openxmlformats.org/officeDocument/2006/relationships/comments" Target="../comments1.xml"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12.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135"/>
  <sheetViews>
    <sheetView showGridLines="0" zoomScaleNormal="75" zoomScaleSheetLayoutView="100" workbookViewId="0">
      <selection activeCell="I17" sqref="I17"/>
    </sheetView>
  </sheetViews>
  <sheetFormatPr defaultColWidth="0" defaultRowHeight="0" customHeight="1" zeroHeight="1"/>
  <cols>
    <col min="1" max="1" width="2.21875" style="816" customWidth="1"/>
    <col min="2" max="2" width="3.6640625" style="823" customWidth="1"/>
    <col min="3" max="3" width="5.77734375" style="821" customWidth="1"/>
    <col min="4" max="4" width="4.6640625" style="820" customWidth="1"/>
    <col min="5" max="5" width="17.33203125" style="821" customWidth="1"/>
    <col min="6" max="6" width="9.77734375" style="821" customWidth="1"/>
    <col min="7" max="7" width="9.77734375" style="818" customWidth="1"/>
    <col min="8" max="8" width="0.44140625" style="818" customWidth="1"/>
    <col min="9" max="11" width="9.77734375" style="818" customWidth="1"/>
    <col min="12" max="12" width="9.77734375" style="817" customWidth="1"/>
    <col min="13" max="13" width="9.77734375" style="816" customWidth="1"/>
    <col min="14" max="14" width="3.109375" style="816" customWidth="1"/>
    <col min="15" max="15" width="11.77734375" style="816" customWidth="1"/>
    <col min="16" max="16" width="9.44140625" style="816" customWidth="1"/>
    <col min="17" max="17" width="2" style="816" customWidth="1"/>
    <col min="18" max="18" width="4.6640625" style="816" hidden="1"/>
    <col min="19" max="19" width="10.21875" style="816" hidden="1"/>
    <col min="20" max="255" width="9" style="816" hidden="1"/>
    <col min="256" max="16383" width="1.88671875" style="816" hidden="1"/>
    <col min="16384" max="16384" width="3.77734375" style="816" hidden="1"/>
  </cols>
  <sheetData>
    <row r="1" spans="1:28" s="351" customFormat="1" ht="12.6" customHeight="1" thickBot="1">
      <c r="A1" s="317"/>
      <c r="B1" s="317"/>
      <c r="C1" s="317"/>
      <c r="D1" s="908"/>
      <c r="E1" s="4"/>
      <c r="F1" s="317"/>
      <c r="G1" s="317"/>
      <c r="H1" s="317"/>
      <c r="I1" s="909"/>
      <c r="J1" s="909"/>
      <c r="K1" s="909"/>
      <c r="L1" s="909"/>
      <c r="M1" s="909"/>
      <c r="N1" s="909"/>
      <c r="O1" s="910"/>
      <c r="P1" s="911"/>
      <c r="R1" s="275"/>
      <c r="S1" s="275"/>
      <c r="T1" s="582"/>
      <c r="U1" s="275"/>
      <c r="V1" s="582"/>
      <c r="W1" s="275"/>
      <c r="X1" s="275"/>
      <c r="Y1" s="275"/>
      <c r="Z1" s="389"/>
      <c r="AA1" s="389"/>
      <c r="AB1" s="389"/>
    </row>
    <row r="2" spans="1:28" s="351" customFormat="1" ht="16.2">
      <c r="A2" s="317"/>
      <c r="B2" s="912" t="str">
        <f>メイン!C6</f>
        <v>CASBEE-戸建（新築）2025年版</v>
      </c>
      <c r="C2" s="913"/>
      <c r="D2" s="914"/>
      <c r="E2" s="915"/>
      <c r="F2" s="916"/>
      <c r="G2" s="317"/>
      <c r="H2" s="317"/>
      <c r="I2" s="909"/>
      <c r="J2" s="909"/>
      <c r="K2" s="909"/>
      <c r="L2" s="2805" t="s">
        <v>95</v>
      </c>
      <c r="M2" s="2805"/>
      <c r="N2" s="1407" t="str">
        <f>メイン!C6</f>
        <v>CASBEE-戸建（新築）2025年版</v>
      </c>
      <c r="O2" s="917"/>
      <c r="P2" s="911"/>
      <c r="R2" s="275"/>
      <c r="S2" s="275"/>
      <c r="T2" s="582"/>
      <c r="U2" s="275"/>
      <c r="V2" s="582"/>
      <c r="W2" s="275"/>
      <c r="X2" s="275"/>
      <c r="Y2" s="275"/>
      <c r="Z2" s="389"/>
      <c r="AA2" s="389"/>
      <c r="AB2" s="389"/>
    </row>
    <row r="3" spans="1:28" s="351" customFormat="1" ht="15.75" customHeight="1" thickBot="1">
      <c r="A3" s="317"/>
      <c r="B3" s="918" t="str">
        <f>メイン!$C$10</f>
        <v>あおもりGX</v>
      </c>
      <c r="C3" s="919"/>
      <c r="D3" s="920"/>
      <c r="E3" s="921"/>
      <c r="F3" s="922"/>
      <c r="G3" s="317"/>
      <c r="H3" s="317"/>
      <c r="I3" s="909"/>
      <c r="J3" s="909"/>
      <c r="K3" s="909"/>
      <c r="L3" s="2806" t="s">
        <v>47</v>
      </c>
      <c r="M3" s="2806"/>
      <c r="N3" s="1408" t="str">
        <f>メイン!C5</f>
        <v>CASBEE-DH_NC_2025v1.0</v>
      </c>
      <c r="O3" s="923"/>
      <c r="P3" s="911"/>
      <c r="R3" s="275"/>
      <c r="S3" s="275"/>
      <c r="T3" s="582"/>
      <c r="U3" s="275"/>
      <c r="V3" s="582"/>
      <c r="W3" s="275"/>
      <c r="X3" s="275"/>
      <c r="Y3" s="275"/>
      <c r="Z3" s="389"/>
      <c r="AA3" s="389"/>
      <c r="AB3" s="389"/>
    </row>
    <row r="4" spans="1:28" ht="15" customHeight="1" thickBot="1">
      <c r="C4" s="816"/>
      <c r="D4" s="924"/>
      <c r="E4" s="816"/>
      <c r="F4" s="816"/>
      <c r="G4" s="823"/>
      <c r="H4" s="823"/>
      <c r="I4" s="823"/>
      <c r="J4" s="823"/>
      <c r="K4" s="823"/>
      <c r="L4" s="925"/>
    </row>
    <row r="5" spans="1:28" ht="21" customHeight="1">
      <c r="B5" s="1395" t="s">
        <v>924</v>
      </c>
      <c r="C5" s="926"/>
      <c r="D5" s="927"/>
      <c r="E5" s="926"/>
      <c r="F5" s="926"/>
      <c r="G5" s="928"/>
      <c r="H5" s="928"/>
      <c r="I5" s="928"/>
      <c r="J5" s="928"/>
      <c r="K5" s="928"/>
      <c r="L5" s="926"/>
      <c r="M5" s="897"/>
      <c r="N5" s="898"/>
      <c r="O5" s="929"/>
      <c r="P5" s="930"/>
    </row>
    <row r="6" spans="1:28" ht="7.5" customHeight="1">
      <c r="B6" s="1041"/>
      <c r="C6" s="931"/>
      <c r="D6" s="932"/>
      <c r="E6" s="933"/>
      <c r="F6" s="933"/>
      <c r="G6" s="934"/>
      <c r="H6" s="934"/>
      <c r="I6" s="934"/>
      <c r="J6" s="934"/>
      <c r="K6" s="934"/>
      <c r="L6" s="935"/>
      <c r="M6" s="933"/>
      <c r="N6" s="933"/>
      <c r="O6" s="933"/>
      <c r="P6" s="1042"/>
    </row>
    <row r="7" spans="1:28" ht="18" customHeight="1">
      <c r="B7" s="1330" t="s">
        <v>925</v>
      </c>
      <c r="C7" s="933"/>
      <c r="D7" s="932"/>
      <c r="E7" s="933"/>
      <c r="F7" s="933"/>
      <c r="G7" s="949"/>
      <c r="H7" s="949"/>
      <c r="I7" s="933"/>
      <c r="J7" s="949"/>
      <c r="K7" s="949"/>
      <c r="L7" s="949"/>
      <c r="M7" s="933"/>
      <c r="N7" s="949"/>
      <c r="O7" s="949"/>
      <c r="P7" s="1044"/>
    </row>
    <row r="8" spans="1:28" ht="18" customHeight="1" thickBot="1">
      <c r="B8" s="1041"/>
      <c r="C8" s="1100" t="s">
        <v>926</v>
      </c>
      <c r="D8" s="932"/>
      <c r="E8" s="933"/>
      <c r="F8" s="933"/>
      <c r="G8" s="949"/>
      <c r="H8" s="949"/>
      <c r="I8" s="939"/>
      <c r="J8" s="939"/>
      <c r="K8" s="939"/>
      <c r="L8" s="937"/>
      <c r="M8" s="952" t="s">
        <v>698</v>
      </c>
      <c r="N8" s="933"/>
      <c r="O8" s="937"/>
      <c r="P8" s="1044" t="s">
        <v>698</v>
      </c>
    </row>
    <row r="9" spans="1:28" ht="18" customHeight="1">
      <c r="B9" s="1041"/>
      <c r="C9" s="933" t="s">
        <v>712</v>
      </c>
      <c r="D9" s="932" t="s">
        <v>514</v>
      </c>
      <c r="E9" s="933"/>
      <c r="F9" s="933"/>
      <c r="G9" s="949"/>
      <c r="H9" s="949"/>
      <c r="I9" s="933"/>
      <c r="J9" s="949"/>
      <c r="K9" s="952" t="s">
        <v>698</v>
      </c>
      <c r="L9" s="2801" t="s">
        <v>420</v>
      </c>
      <c r="M9" s="2802"/>
      <c r="N9" s="949"/>
      <c r="O9" s="2803" t="s">
        <v>225</v>
      </c>
      <c r="P9" s="2804"/>
      <c r="Q9" s="818"/>
    </row>
    <row r="10" spans="1:28" ht="18" customHeight="1">
      <c r="B10" s="1041"/>
      <c r="C10" s="943">
        <v>1</v>
      </c>
      <c r="D10" s="962" t="s">
        <v>44</v>
      </c>
      <c r="E10" s="963"/>
      <c r="F10" s="963"/>
      <c r="G10" s="1040" t="s">
        <v>291</v>
      </c>
      <c r="H10" s="949"/>
      <c r="I10" s="940" t="s">
        <v>222</v>
      </c>
      <c r="J10" s="940" t="s">
        <v>223</v>
      </c>
      <c r="K10" s="941" t="s">
        <v>224</v>
      </c>
      <c r="L10" s="1034" t="s">
        <v>226</v>
      </c>
      <c r="M10" s="1035" t="s">
        <v>699</v>
      </c>
      <c r="N10" s="933"/>
      <c r="O10" s="1034" t="s">
        <v>226</v>
      </c>
      <c r="P10" s="1035" t="s">
        <v>699</v>
      </c>
      <c r="Q10" s="818"/>
    </row>
    <row r="11" spans="1:28" ht="18" customHeight="1">
      <c r="B11" s="1041"/>
      <c r="C11" s="947"/>
      <c r="D11" s="964">
        <v>1.1000000000000001</v>
      </c>
      <c r="E11" s="963" t="s">
        <v>193</v>
      </c>
      <c r="F11" s="965" t="s">
        <v>313</v>
      </c>
      <c r="G11" s="966">
        <f>採点LR2!G8</f>
        <v>1</v>
      </c>
      <c r="H11" s="949"/>
      <c r="I11" s="967" t="e">
        <f>VLOOKUP($R11,#REF!,2)</f>
        <v>#REF!</v>
      </c>
      <c r="J11" s="967" t="e">
        <f>VLOOKUP($R11,#REF!,3)</f>
        <v>#REF!</v>
      </c>
      <c r="K11" s="1024" t="e">
        <f>VLOOKUP($R11,#REF!,4)</f>
        <v>#REF!</v>
      </c>
      <c r="L11" s="945">
        <f>L37</f>
        <v>5</v>
      </c>
      <c r="M11" s="1025" t="e">
        <f>IF(L11&gt;=4.5,$K11,IF(L11&gt;=3.5,$J11,IF(L11&gt;=2.5,$I11,IF(L11&gt;=1.5,$H11,$G11))))</f>
        <v>#REF!</v>
      </c>
      <c r="N11" s="933"/>
      <c r="O11" s="945">
        <v>3</v>
      </c>
      <c r="P11" s="955" t="e">
        <f>#REF!</f>
        <v>#REF!</v>
      </c>
      <c r="R11" s="816">
        <f>R37</f>
        <v>555</v>
      </c>
    </row>
    <row r="12" spans="1:28" ht="18" customHeight="1">
      <c r="B12" s="1041"/>
      <c r="C12" s="947"/>
      <c r="D12" s="969"/>
      <c r="E12" s="933"/>
      <c r="F12" s="970" t="s">
        <v>314</v>
      </c>
      <c r="G12" s="966">
        <f>採点LR2!H8</f>
        <v>0</v>
      </c>
      <c r="H12" s="949"/>
      <c r="I12" s="967" t="e">
        <f>VLOOKUP($R12,#REF!,5)</f>
        <v>#REF!</v>
      </c>
      <c r="J12" s="967" t="e">
        <f>VLOOKUP($R12,#REF!,6)</f>
        <v>#REF!</v>
      </c>
      <c r="K12" s="1024" t="e">
        <f>VLOOKUP($R12,#REF!,7)</f>
        <v>#REF!</v>
      </c>
      <c r="L12" s="945">
        <f>L11</f>
        <v>5</v>
      </c>
      <c r="M12" s="1025" t="e">
        <f>IF(L12&gt;=4.5,$K12,IF(L12&gt;=3.5,$J12,IF(L12&gt;=2.5,$I12,IF(L12&gt;=1.5,$H12,$G12))))</f>
        <v>#REF!</v>
      </c>
      <c r="N12" s="933"/>
      <c r="O12" s="945">
        <v>3</v>
      </c>
      <c r="P12" s="955" t="e">
        <f>#REF!</f>
        <v>#REF!</v>
      </c>
      <c r="R12" s="816">
        <f>R11</f>
        <v>555</v>
      </c>
    </row>
    <row r="13" spans="1:28" ht="18" customHeight="1" thickBot="1">
      <c r="B13" s="1041"/>
      <c r="C13" s="947"/>
      <c r="D13" s="971"/>
      <c r="E13" s="972"/>
      <c r="F13" s="973" t="s">
        <v>315</v>
      </c>
      <c r="G13" s="966">
        <f>採点LR2!I8</f>
        <v>0</v>
      </c>
      <c r="H13" s="949"/>
      <c r="I13" s="967" t="e">
        <f>VLOOKUP($R13,#REF!,8)</f>
        <v>#REF!</v>
      </c>
      <c r="J13" s="967" t="e">
        <f>VLOOKUP($R13,#REF!,9)</f>
        <v>#REF!</v>
      </c>
      <c r="K13" s="1024" t="e">
        <f>VLOOKUP($R13,#REF!,10)</f>
        <v>#REF!</v>
      </c>
      <c r="L13" s="945">
        <f>L11</f>
        <v>5</v>
      </c>
      <c r="M13" s="1026" t="e">
        <f>IF(L13&gt;=4.5,$K13,IF(L13&gt;=3.5,$J13,IF(L13&gt;=2.5,$I13,IF(L13&gt;=1.5,$H13,$G13))))</f>
        <v>#REF!</v>
      </c>
      <c r="N13" s="933"/>
      <c r="O13" s="945">
        <v>3</v>
      </c>
      <c r="P13" s="1032" t="e">
        <f>#REF!</f>
        <v>#REF!</v>
      </c>
      <c r="R13" s="816">
        <f>R11</f>
        <v>555</v>
      </c>
    </row>
    <row r="14" spans="1:28" ht="18" customHeight="1">
      <c r="B14" s="1041"/>
      <c r="C14" s="947"/>
      <c r="D14" s="974">
        <v>1.2</v>
      </c>
      <c r="E14" s="953" t="s">
        <v>45</v>
      </c>
      <c r="F14" s="953"/>
      <c r="G14" s="954"/>
      <c r="H14" s="949"/>
      <c r="I14" s="949"/>
      <c r="J14" s="949"/>
      <c r="K14" s="949"/>
      <c r="L14" s="1028">
        <f>スコア!S37</f>
        <v>5</v>
      </c>
      <c r="M14" s="933"/>
      <c r="N14" s="933"/>
      <c r="O14" s="1030">
        <v>3</v>
      </c>
      <c r="P14" s="1045"/>
    </row>
    <row r="15" spans="1:28" ht="18" customHeight="1" thickBot="1">
      <c r="B15" s="1041"/>
      <c r="C15" s="948"/>
      <c r="D15" s="974">
        <v>1.3</v>
      </c>
      <c r="E15" s="953" t="s">
        <v>294</v>
      </c>
      <c r="F15" s="953"/>
      <c r="G15" s="954"/>
      <c r="H15" s="949"/>
      <c r="I15" s="949"/>
      <c r="J15" s="949"/>
      <c r="K15" s="949"/>
      <c r="L15" s="1029">
        <f>スコア!S38</f>
        <v>5</v>
      </c>
      <c r="M15" s="933"/>
      <c r="N15" s="933"/>
      <c r="O15" s="1031">
        <v>3</v>
      </c>
      <c r="P15" s="1046"/>
    </row>
    <row r="16" spans="1:28" ht="18" customHeight="1" thickBot="1">
      <c r="B16" s="1041"/>
      <c r="C16" s="943">
        <v>2</v>
      </c>
      <c r="D16" s="962" t="s">
        <v>519</v>
      </c>
      <c r="E16" s="963"/>
      <c r="F16" s="963"/>
      <c r="G16" s="975"/>
      <c r="H16" s="949"/>
      <c r="I16" s="949"/>
      <c r="J16" s="949"/>
      <c r="K16" s="949"/>
      <c r="L16" s="976"/>
      <c r="M16" s="933"/>
      <c r="N16" s="933"/>
      <c r="O16" s="977"/>
      <c r="P16" s="1042"/>
    </row>
    <row r="17" spans="2:16" ht="18" customHeight="1" thickBot="1">
      <c r="B17" s="1041"/>
      <c r="C17" s="948"/>
      <c r="D17" s="974">
        <v>2.2000000000000002</v>
      </c>
      <c r="E17" s="953" t="s">
        <v>265</v>
      </c>
      <c r="F17" s="953"/>
      <c r="G17" s="954"/>
      <c r="H17" s="949"/>
      <c r="I17" s="949"/>
      <c r="J17" s="949"/>
      <c r="K17" s="949"/>
      <c r="L17" s="1033">
        <f>スコア!S50</f>
        <v>5</v>
      </c>
      <c r="M17" s="933"/>
      <c r="N17" s="933"/>
      <c r="O17" s="1033">
        <v>3</v>
      </c>
      <c r="P17" s="1042"/>
    </row>
    <row r="18" spans="2:16" ht="3.75" customHeight="1" thickBot="1">
      <c r="B18" s="1041"/>
      <c r="C18" s="933"/>
      <c r="D18" s="932"/>
      <c r="E18" s="933"/>
      <c r="F18" s="933"/>
      <c r="G18" s="949"/>
      <c r="H18" s="949"/>
      <c r="I18" s="949"/>
      <c r="J18" s="949"/>
      <c r="K18" s="949"/>
      <c r="L18" s="949"/>
      <c r="M18" s="951"/>
      <c r="N18" s="933"/>
      <c r="O18" s="933"/>
      <c r="P18" s="1042"/>
    </row>
    <row r="19" spans="2:16" ht="18" hidden="1" customHeight="1" thickBot="1">
      <c r="B19" s="1041"/>
      <c r="C19" s="938" t="s">
        <v>916</v>
      </c>
      <c r="D19" s="932"/>
      <c r="E19" s="933"/>
      <c r="F19" s="933"/>
      <c r="G19" s="933"/>
      <c r="H19" s="949"/>
      <c r="I19" s="949"/>
      <c r="J19" s="949"/>
      <c r="K19" s="949"/>
      <c r="L19" s="978"/>
      <c r="M19" s="1377"/>
      <c r="N19" s="933"/>
      <c r="O19" s="977"/>
      <c r="P19" s="1042"/>
    </row>
    <row r="20" spans="2:16" ht="18" hidden="1" customHeight="1">
      <c r="B20" s="1041"/>
      <c r="C20" s="938"/>
      <c r="D20" s="932"/>
      <c r="E20" s="933"/>
      <c r="F20" s="933"/>
      <c r="G20" s="949"/>
      <c r="H20" s="949"/>
      <c r="I20" s="933"/>
      <c r="J20" s="949"/>
      <c r="K20" s="952"/>
      <c r="L20" s="2801" t="s">
        <v>420</v>
      </c>
      <c r="M20" s="2802"/>
      <c r="N20" s="933"/>
      <c r="O20" s="977"/>
      <c r="P20" s="1042"/>
    </row>
    <row r="21" spans="2:16" ht="18" hidden="1" customHeight="1">
      <c r="B21" s="1041"/>
      <c r="C21" s="938"/>
      <c r="D21" s="932"/>
      <c r="E21" s="933"/>
      <c r="F21" s="933"/>
      <c r="G21" s="949"/>
      <c r="H21" s="949"/>
      <c r="I21" s="940" t="s">
        <v>222</v>
      </c>
      <c r="J21" s="940" t="s">
        <v>223</v>
      </c>
      <c r="K21" s="941" t="s">
        <v>224</v>
      </c>
      <c r="L21" s="1034" t="s">
        <v>226</v>
      </c>
      <c r="M21" s="1382" t="s">
        <v>913</v>
      </c>
      <c r="N21" s="933"/>
      <c r="O21" s="977"/>
      <c r="P21" s="1042"/>
    </row>
    <row r="22" spans="2:16" ht="18" hidden="1" customHeight="1" thickBot="1">
      <c r="B22" s="1041"/>
      <c r="C22" s="938"/>
      <c r="D22" s="932" t="s">
        <v>299</v>
      </c>
      <c r="E22" s="933"/>
      <c r="F22" s="933" t="s">
        <v>719</v>
      </c>
      <c r="G22" s="949"/>
      <c r="H22" s="949"/>
      <c r="I22" s="981" t="e">
        <f>#REF!</f>
        <v>#REF!</v>
      </c>
      <c r="J22" s="981" t="e">
        <f>#REF!</f>
        <v>#REF!</v>
      </c>
      <c r="K22" s="981" t="e">
        <f>#REF!</f>
        <v>#REF!</v>
      </c>
      <c r="L22" s="950">
        <f>L11</f>
        <v>5</v>
      </c>
      <c r="M22" s="1383" t="e">
        <f>IF(L22&gt;=4.5,$K22,IF(L22&gt;=3.5,$J22,IF(L22&gt;=2.5,$I22,IF(L22&gt;=1.5,$H22,$G22))))</f>
        <v>#REF!</v>
      </c>
      <c r="N22" s="933"/>
      <c r="O22" s="977"/>
      <c r="P22" s="1042"/>
    </row>
    <row r="23" spans="2:16" ht="17.25" hidden="1" customHeight="1">
      <c r="B23" s="1041"/>
      <c r="C23" s="938"/>
      <c r="D23" s="932"/>
      <c r="E23" s="1194" t="s">
        <v>904</v>
      </c>
      <c r="F23" s="1352">
        <f>メイン!C23</f>
        <v>120.8</v>
      </c>
      <c r="G23" s="1337" t="s">
        <v>1</v>
      </c>
      <c r="H23" s="949"/>
      <c r="I23" s="949"/>
      <c r="J23" s="949"/>
      <c r="K23" s="949"/>
      <c r="L23" s="978"/>
      <c r="M23" s="1377"/>
      <c r="N23" s="933"/>
      <c r="O23" s="977"/>
      <c r="P23" s="1042"/>
    </row>
    <row r="24" spans="2:16" ht="17.25" hidden="1" customHeight="1">
      <c r="B24" s="1041"/>
      <c r="C24" s="938"/>
      <c r="D24" s="932"/>
      <c r="E24" s="933"/>
      <c r="F24" s="933" t="s">
        <v>917</v>
      </c>
      <c r="G24" s="949"/>
      <c r="H24" s="949"/>
      <c r="I24" s="1380" t="s">
        <v>918</v>
      </c>
      <c r="J24" s="949"/>
      <c r="K24" s="949"/>
      <c r="L24" s="949"/>
      <c r="M24" s="952" t="s">
        <v>698</v>
      </c>
      <c r="N24" s="933"/>
      <c r="O24" s="977"/>
      <c r="P24" s="1042"/>
    </row>
    <row r="25" spans="2:16" ht="17.25" hidden="1" customHeight="1">
      <c r="B25" s="1041"/>
      <c r="C25" s="938"/>
      <c r="D25" s="932" t="s">
        <v>877</v>
      </c>
      <c r="E25" s="933"/>
      <c r="F25" s="1384">
        <f>採点LR1!G45</f>
        <v>0</v>
      </c>
      <c r="G25" s="949"/>
      <c r="H25" s="949"/>
      <c r="I25" s="1379" t="e">
        <f>#REF!</f>
        <v>#REF!</v>
      </c>
      <c r="J25" s="949"/>
      <c r="K25" s="949"/>
      <c r="L25" s="1380"/>
      <c r="M25" s="1385" t="e">
        <f>F25*I25/$F$23/$M$22</f>
        <v>#REF!</v>
      </c>
      <c r="N25" s="933"/>
      <c r="O25" s="977"/>
      <c r="P25" s="1049"/>
    </row>
    <row r="26" spans="2:16" ht="17.25" hidden="1" customHeight="1">
      <c r="B26" s="1041"/>
      <c r="C26" s="938"/>
      <c r="D26" s="932" t="s">
        <v>879</v>
      </c>
      <c r="E26" s="933"/>
      <c r="F26" s="1384" t="e">
        <f>採点LR1!#REF!</f>
        <v>#REF!</v>
      </c>
      <c r="G26" s="949"/>
      <c r="H26" s="949"/>
      <c r="I26" s="1379" t="e">
        <f>#REF!</f>
        <v>#REF!</v>
      </c>
      <c r="J26" s="949"/>
      <c r="K26" s="949"/>
      <c r="L26" s="1380"/>
      <c r="M26" s="1385" t="e">
        <f>F26*I26/$F$23/$M$22</f>
        <v>#REF!</v>
      </c>
      <c r="N26" s="933"/>
      <c r="O26" s="977"/>
      <c r="P26" s="1049"/>
    </row>
    <row r="27" spans="2:16" ht="17.25" hidden="1" customHeight="1">
      <c r="B27" s="1041"/>
      <c r="C27" s="938"/>
      <c r="D27" s="932" t="s">
        <v>880</v>
      </c>
      <c r="E27" s="933"/>
      <c r="F27" s="1384" t="e">
        <f>採点LR1!#REF!</f>
        <v>#REF!</v>
      </c>
      <c r="G27" s="949"/>
      <c r="H27" s="949"/>
      <c r="I27" s="1379" t="e">
        <f>#REF!</f>
        <v>#REF!</v>
      </c>
      <c r="J27" s="949"/>
      <c r="K27" s="949"/>
      <c r="L27" s="1380"/>
      <c r="M27" s="1385" t="e">
        <f t="shared" ref="M27:M28" si="0">F27*I27/$F$23/$M$22</f>
        <v>#REF!</v>
      </c>
      <c r="N27" s="933"/>
      <c r="O27" s="977"/>
      <c r="P27" s="1049"/>
    </row>
    <row r="28" spans="2:16" ht="17.25" hidden="1" customHeight="1">
      <c r="B28" s="1041"/>
      <c r="C28" s="938"/>
      <c r="D28" s="932" t="s">
        <v>910</v>
      </c>
      <c r="E28" s="933"/>
      <c r="F28" s="1384" t="e">
        <f>採点LR1!#REF!</f>
        <v>#REF!</v>
      </c>
      <c r="G28" s="949"/>
      <c r="H28" s="949"/>
      <c r="I28" s="1379" t="e">
        <f>#REF!</f>
        <v>#REF!</v>
      </c>
      <c r="J28" s="949"/>
      <c r="K28" s="949"/>
      <c r="L28" s="1380"/>
      <c r="M28" s="1385" t="e">
        <f t="shared" si="0"/>
        <v>#REF!</v>
      </c>
      <c r="N28" s="933"/>
      <c r="O28" s="977"/>
      <c r="P28" s="1049"/>
    </row>
    <row r="29" spans="2:16" ht="17.25" hidden="1" customHeight="1" thickBot="1">
      <c r="B29" s="1041"/>
      <c r="C29" s="938"/>
      <c r="D29" s="932"/>
      <c r="E29" s="932"/>
      <c r="F29" s="932"/>
      <c r="G29" s="949"/>
      <c r="H29" s="949"/>
      <c r="I29" s="949"/>
      <c r="J29" s="949"/>
      <c r="K29" s="949"/>
      <c r="L29" s="949"/>
      <c r="M29" s="951"/>
      <c r="N29" s="933"/>
      <c r="O29" s="977"/>
      <c r="P29" s="1049"/>
    </row>
    <row r="30" spans="2:16" ht="18" customHeight="1" thickBot="1">
      <c r="B30" s="1041"/>
      <c r="C30" s="1100" t="s">
        <v>921</v>
      </c>
      <c r="D30" s="932"/>
      <c r="E30" s="933"/>
      <c r="F30" s="933"/>
      <c r="G30" s="933"/>
      <c r="H30" s="949"/>
      <c r="I30" s="949"/>
      <c r="J30" s="949"/>
      <c r="K30" s="949"/>
      <c r="L30" s="978"/>
      <c r="M30" s="979" t="e">
        <f>M11*G11+M12*G12+M13*G13+SUM(M25:M28)</f>
        <v>#REF!</v>
      </c>
      <c r="N30" s="933"/>
      <c r="O30" s="977"/>
      <c r="P30" s="979" t="e">
        <f>P11*G11+P12*G12+P13*G13</f>
        <v>#REF!</v>
      </c>
    </row>
    <row r="31" spans="2:16" ht="13.2">
      <c r="B31" s="1041"/>
      <c r="C31" s="933"/>
      <c r="D31" s="932"/>
      <c r="E31" s="933"/>
      <c r="F31" s="933"/>
      <c r="G31" s="933"/>
      <c r="H31" s="949"/>
      <c r="I31" s="949"/>
      <c r="J31" s="949"/>
      <c r="K31" s="949"/>
      <c r="L31" s="978"/>
      <c r="M31" s="980"/>
      <c r="N31" s="933"/>
      <c r="O31" s="977"/>
      <c r="P31" s="1049"/>
    </row>
    <row r="32" spans="2:16" ht="15.75" hidden="1" customHeight="1">
      <c r="B32" s="1041"/>
      <c r="C32" s="933"/>
      <c r="D32" s="932"/>
      <c r="E32" s="933"/>
      <c r="F32" s="933" t="s">
        <v>296</v>
      </c>
      <c r="G32" s="949"/>
      <c r="H32" s="949"/>
      <c r="I32" s="981" t="e">
        <f>#REF!</f>
        <v>#REF!</v>
      </c>
      <c r="J32" s="981" t="e">
        <f>#REF!</f>
        <v>#REF!</v>
      </c>
      <c r="K32" s="981" t="e">
        <f>#REF!</f>
        <v>#REF!</v>
      </c>
      <c r="L32" s="968">
        <f>L37</f>
        <v>5</v>
      </c>
      <c r="M32" s="982" t="e">
        <f>IF(L32&gt;=4.5,$K32,IF(L32&gt;=3.5,$J32,IF(L32&gt;=2.5,$I32,IF(L32&gt;=1.5,$H32,$G32))))</f>
        <v>#REF!</v>
      </c>
      <c r="N32" s="933"/>
      <c r="O32" s="968">
        <v>3</v>
      </c>
      <c r="P32" s="1048" t="e">
        <f>#REF!</f>
        <v>#REF!</v>
      </c>
    </row>
    <row r="33" spans="2:18" ht="15.6">
      <c r="B33" s="1330" t="s">
        <v>927</v>
      </c>
      <c r="C33" s="933"/>
      <c r="D33" s="932"/>
      <c r="E33" s="933"/>
      <c r="F33" s="933"/>
      <c r="G33" s="949"/>
      <c r="H33" s="949"/>
      <c r="I33" s="949"/>
      <c r="J33" s="949"/>
      <c r="K33" s="949"/>
      <c r="L33" s="946"/>
      <c r="M33" s="933"/>
      <c r="N33" s="933"/>
      <c r="O33" s="946"/>
      <c r="P33" s="1042"/>
    </row>
    <row r="34" spans="2:18" ht="16.2" thickBot="1">
      <c r="B34" s="1043"/>
      <c r="C34" s="1100" t="s">
        <v>928</v>
      </c>
      <c r="D34" s="932"/>
      <c r="E34" s="933"/>
      <c r="F34" s="933"/>
      <c r="G34" s="949"/>
      <c r="H34" s="949"/>
      <c r="I34" s="949"/>
      <c r="J34" s="949"/>
      <c r="K34" s="949"/>
      <c r="L34" s="946"/>
      <c r="M34" s="952" t="s">
        <v>698</v>
      </c>
      <c r="N34" s="933"/>
      <c r="O34" s="946"/>
      <c r="P34" s="1044" t="s">
        <v>698</v>
      </c>
    </row>
    <row r="35" spans="2:18" ht="18" customHeight="1">
      <c r="B35" s="1041"/>
      <c r="C35" s="933" t="s">
        <v>712</v>
      </c>
      <c r="D35" s="932" t="s">
        <v>514</v>
      </c>
      <c r="E35" s="933"/>
      <c r="F35" s="933"/>
      <c r="G35" s="949"/>
      <c r="H35" s="949"/>
      <c r="I35" s="933"/>
      <c r="J35" s="949"/>
      <c r="K35" s="952" t="s">
        <v>698</v>
      </c>
      <c r="L35" s="2801" t="s">
        <v>420</v>
      </c>
      <c r="M35" s="2802"/>
      <c r="N35" s="949"/>
      <c r="O35" s="2803" t="s">
        <v>225</v>
      </c>
      <c r="P35" s="2804"/>
      <c r="Q35" s="818"/>
    </row>
    <row r="36" spans="2:18" ht="18" customHeight="1">
      <c r="B36" s="1041"/>
      <c r="C36" s="943">
        <v>1</v>
      </c>
      <c r="D36" s="962" t="s">
        <v>44</v>
      </c>
      <c r="E36" s="963"/>
      <c r="F36" s="963"/>
      <c r="G36" s="975"/>
      <c r="H36" s="949"/>
      <c r="I36" s="940" t="s">
        <v>222</v>
      </c>
      <c r="J36" s="940" t="s">
        <v>223</v>
      </c>
      <c r="K36" s="941" t="s">
        <v>224</v>
      </c>
      <c r="L36" s="1034" t="s">
        <v>226</v>
      </c>
      <c r="M36" s="1035" t="s">
        <v>699</v>
      </c>
      <c r="N36" s="933"/>
      <c r="O36" s="1034" t="s">
        <v>226</v>
      </c>
      <c r="P36" s="1035" t="s">
        <v>699</v>
      </c>
      <c r="Q36" s="818"/>
    </row>
    <row r="37" spans="2:18" ht="18" customHeight="1">
      <c r="B37" s="1041"/>
      <c r="C37" s="947"/>
      <c r="D37" s="964">
        <v>1.1000000000000001</v>
      </c>
      <c r="E37" s="963" t="s">
        <v>193</v>
      </c>
      <c r="F37" s="965" t="s">
        <v>313</v>
      </c>
      <c r="G37" s="966">
        <f>G11</f>
        <v>1</v>
      </c>
      <c r="H37" s="949"/>
      <c r="I37" s="967" t="e">
        <f>VLOOKUP($R37,#REF!,2)</f>
        <v>#REF!</v>
      </c>
      <c r="J37" s="967" t="e">
        <f>VLOOKUP($R37,#REF!,3)</f>
        <v>#REF!</v>
      </c>
      <c r="K37" s="1024" t="e">
        <f>VLOOKUP($R37,#REF!,4)</f>
        <v>#REF!</v>
      </c>
      <c r="L37" s="945">
        <f>スコア!S36</f>
        <v>5</v>
      </c>
      <c r="M37" s="1025" t="e">
        <f>IF(L37&gt;=4.5,$K37,IF(L37&gt;=3.5,$J37,IF(L37&gt;=2.5,$I37,IF(L37&gt;=1.5,$H37,$G37))))</f>
        <v>#REF!</v>
      </c>
      <c r="N37" s="933"/>
      <c r="O37" s="945">
        <v>3</v>
      </c>
      <c r="P37" s="957" t="e">
        <f>#REF!</f>
        <v>#REF!</v>
      </c>
      <c r="R37" s="822">
        <f>L14*100+L15*10+L17</f>
        <v>555</v>
      </c>
    </row>
    <row r="38" spans="2:18" ht="18" customHeight="1">
      <c r="B38" s="1041"/>
      <c r="C38" s="947"/>
      <c r="D38" s="969"/>
      <c r="E38" s="933"/>
      <c r="F38" s="970" t="s">
        <v>314</v>
      </c>
      <c r="G38" s="966">
        <f>G12</f>
        <v>0</v>
      </c>
      <c r="H38" s="949"/>
      <c r="I38" s="967" t="e">
        <f>VLOOKUP($R38,#REF!,5)</f>
        <v>#REF!</v>
      </c>
      <c r="J38" s="967" t="e">
        <f>VLOOKUP($R38,#REF!,6)</f>
        <v>#REF!</v>
      </c>
      <c r="K38" s="1024" t="e">
        <f>VLOOKUP($R38,#REF!,7)</f>
        <v>#REF!</v>
      </c>
      <c r="L38" s="945">
        <f>L37</f>
        <v>5</v>
      </c>
      <c r="M38" s="1025" t="e">
        <f>IF(L38&gt;=4.5,$K38,IF(L38&gt;=3.5,$J38,IF(L38&gt;=2.5,$I38,IF(L38&gt;=1.5,$H38,$G38))))</f>
        <v>#REF!</v>
      </c>
      <c r="N38" s="933"/>
      <c r="O38" s="945">
        <v>3</v>
      </c>
      <c r="P38" s="983" t="e">
        <f>#REF!</f>
        <v>#REF!</v>
      </c>
      <c r="R38" s="816">
        <f>R37</f>
        <v>555</v>
      </c>
    </row>
    <row r="39" spans="2:18" ht="18" customHeight="1" thickBot="1">
      <c r="B39" s="1041"/>
      <c r="C39" s="948"/>
      <c r="D39" s="971"/>
      <c r="E39" s="972"/>
      <c r="F39" s="973" t="s">
        <v>315</v>
      </c>
      <c r="G39" s="966">
        <f>G13</f>
        <v>0</v>
      </c>
      <c r="H39" s="949"/>
      <c r="I39" s="967" t="e">
        <f>VLOOKUP($R39,#REF!,8)</f>
        <v>#REF!</v>
      </c>
      <c r="J39" s="967" t="e">
        <f>VLOOKUP($R39,#REF!,9)</f>
        <v>#REF!</v>
      </c>
      <c r="K39" s="1024" t="e">
        <f>VLOOKUP($R39,#REF!,10)</f>
        <v>#REF!</v>
      </c>
      <c r="L39" s="950">
        <f>L37</f>
        <v>5</v>
      </c>
      <c r="M39" s="1026" t="e">
        <f>IF(L39&gt;=4.5,$K39,IF(L39&gt;=3.5,$J39,IF(L39&gt;=2.5,$I39,IF(L39&gt;=1.5,$H39,$G39))))</f>
        <v>#REF!</v>
      </c>
      <c r="N39" s="933"/>
      <c r="O39" s="950">
        <v>3</v>
      </c>
      <c r="P39" s="1027" t="e">
        <f>#REF!</f>
        <v>#REF!</v>
      </c>
      <c r="R39" s="816">
        <f>R38</f>
        <v>555</v>
      </c>
    </row>
    <row r="40" spans="2:18" ht="13.8" thickBot="1">
      <c r="B40" s="1041"/>
      <c r="C40" s="933"/>
      <c r="D40" s="932"/>
      <c r="E40" s="933"/>
      <c r="F40" s="933"/>
      <c r="G40" s="949"/>
      <c r="H40" s="949"/>
      <c r="I40" s="949"/>
      <c r="J40" s="949"/>
      <c r="K40" s="949"/>
      <c r="L40" s="949"/>
      <c r="M40" s="951"/>
      <c r="N40" s="933"/>
      <c r="O40" s="933"/>
      <c r="P40" s="1049"/>
    </row>
    <row r="41" spans="2:18" ht="15" hidden="1" thickBot="1">
      <c r="B41" s="1041"/>
      <c r="C41" s="938" t="s">
        <v>909</v>
      </c>
      <c r="D41" s="932"/>
      <c r="E41" s="933"/>
      <c r="F41" s="933"/>
      <c r="G41" s="949"/>
      <c r="H41" s="949"/>
      <c r="I41" s="949"/>
      <c r="J41" s="949"/>
      <c r="K41" s="949"/>
      <c r="L41" s="949"/>
      <c r="M41" s="951"/>
      <c r="N41" s="933"/>
      <c r="O41" s="933"/>
      <c r="P41" s="1049"/>
    </row>
    <row r="42" spans="2:18" ht="15" hidden="1" customHeight="1">
      <c r="B42" s="1041"/>
      <c r="C42" s="938"/>
      <c r="D42" s="932" t="s">
        <v>915</v>
      </c>
      <c r="E42" s="933"/>
      <c r="F42" s="1379" t="e">
        <f>#REF!</f>
        <v>#REF!</v>
      </c>
      <c r="G42" s="1381" t="s">
        <v>912</v>
      </c>
      <c r="H42" s="949"/>
      <c r="I42" s="949"/>
      <c r="J42" s="949"/>
      <c r="K42" s="949"/>
      <c r="L42" s="949"/>
      <c r="M42" s="951"/>
      <c r="N42" s="933"/>
      <c r="O42" s="933"/>
      <c r="P42" s="1049"/>
    </row>
    <row r="43" spans="2:18" ht="16.2" hidden="1" thickBot="1">
      <c r="B43" s="1041"/>
      <c r="C43" s="933"/>
      <c r="D43" s="932"/>
      <c r="E43" s="933"/>
      <c r="F43" s="933" t="s">
        <v>917</v>
      </c>
      <c r="G43" s="949"/>
      <c r="H43" s="949"/>
      <c r="I43" s="1380" t="s">
        <v>911</v>
      </c>
      <c r="J43" s="1380" t="s">
        <v>875</v>
      </c>
      <c r="K43" s="1380" t="s">
        <v>876</v>
      </c>
      <c r="L43" s="949"/>
      <c r="M43" s="952" t="s">
        <v>698</v>
      </c>
      <c r="N43" s="933"/>
      <c r="O43" s="933"/>
      <c r="P43" s="1049"/>
    </row>
    <row r="44" spans="2:18" ht="13.8" hidden="1" thickBot="1">
      <c r="B44" s="1041"/>
      <c r="C44" s="933"/>
      <c r="D44" s="932" t="s">
        <v>877</v>
      </c>
      <c r="E44" s="933"/>
      <c r="F44" s="1384">
        <f>採点LR1!G45</f>
        <v>0</v>
      </c>
      <c r="G44" s="949"/>
      <c r="H44" s="949"/>
      <c r="I44" s="1379" t="e">
        <f>#REF!</f>
        <v>#REF!</v>
      </c>
      <c r="J44" s="966" t="e">
        <f>ROUNDDOWN($M$22/$F$42,0)</f>
        <v>#REF!</v>
      </c>
      <c r="K44" s="981" t="e">
        <f>F44*I44*J44</f>
        <v>#REF!</v>
      </c>
      <c r="L44" s="1380" t="s">
        <v>919</v>
      </c>
      <c r="M44" s="1385" t="e">
        <f>K44/$M$22/$F$23</f>
        <v>#REF!</v>
      </c>
      <c r="N44" s="933"/>
      <c r="O44" s="933"/>
      <c r="P44" s="1049"/>
    </row>
    <row r="45" spans="2:18" ht="13.8" hidden="1" thickBot="1">
      <c r="B45" s="1041"/>
      <c r="C45" s="933"/>
      <c r="D45" s="932" t="s">
        <v>879</v>
      </c>
      <c r="E45" s="933"/>
      <c r="F45" s="1384" t="e">
        <f>採点LR1!#REF!</f>
        <v>#REF!</v>
      </c>
      <c r="G45" s="949"/>
      <c r="H45" s="949"/>
      <c r="I45" s="1379" t="e">
        <f>#REF!</f>
        <v>#REF!</v>
      </c>
      <c r="J45" s="966" t="e">
        <f>ROUNDDOWN($M$22/$F$42,0)</f>
        <v>#REF!</v>
      </c>
      <c r="K45" s="981" t="e">
        <f t="shared" ref="K45:K47" si="1">F45*I45*J45</f>
        <v>#REF!</v>
      </c>
      <c r="L45" s="1380" t="s">
        <v>919</v>
      </c>
      <c r="M45" s="1385" t="e">
        <f t="shared" ref="M45:M47" si="2">K45/$M$22/$F$23</f>
        <v>#REF!</v>
      </c>
      <c r="N45" s="933"/>
      <c r="O45" s="933"/>
      <c r="P45" s="1049"/>
    </row>
    <row r="46" spans="2:18" ht="13.8" hidden="1" thickBot="1">
      <c r="B46" s="1041"/>
      <c r="C46" s="933"/>
      <c r="D46" s="932" t="s">
        <v>880</v>
      </c>
      <c r="E46" s="933"/>
      <c r="F46" s="1384" t="e">
        <f>採点LR1!#REF!</f>
        <v>#REF!</v>
      </c>
      <c r="G46" s="949"/>
      <c r="H46" s="949"/>
      <c r="I46" s="1379" t="e">
        <f>#REF!</f>
        <v>#REF!</v>
      </c>
      <c r="J46" s="966" t="e">
        <f>ROUNDDOWN($M$22/$F$42,0)</f>
        <v>#REF!</v>
      </c>
      <c r="K46" s="981" t="e">
        <f t="shared" si="1"/>
        <v>#REF!</v>
      </c>
      <c r="L46" s="1380" t="s">
        <v>919</v>
      </c>
      <c r="M46" s="1385" t="e">
        <f t="shared" si="2"/>
        <v>#REF!</v>
      </c>
      <c r="N46" s="933"/>
      <c r="O46" s="933"/>
      <c r="P46" s="1049"/>
    </row>
    <row r="47" spans="2:18" ht="13.8" hidden="1" thickBot="1">
      <c r="B47" s="1041"/>
      <c r="C47" s="933"/>
      <c r="D47" s="932" t="s">
        <v>910</v>
      </c>
      <c r="E47" s="933"/>
      <c r="F47" s="1384" t="e">
        <f>採点LR1!#REF!</f>
        <v>#REF!</v>
      </c>
      <c r="G47" s="949"/>
      <c r="H47" s="949"/>
      <c r="I47" s="1379" t="e">
        <f>#REF!</f>
        <v>#REF!</v>
      </c>
      <c r="J47" s="966" t="e">
        <f>ROUNDDOWN($M$22/$F$42,0)</f>
        <v>#REF!</v>
      </c>
      <c r="K47" s="981" t="e">
        <f t="shared" si="1"/>
        <v>#REF!</v>
      </c>
      <c r="L47" s="1380" t="s">
        <v>919</v>
      </c>
      <c r="M47" s="1385" t="e">
        <f t="shared" si="2"/>
        <v>#REF!</v>
      </c>
      <c r="N47" s="933"/>
      <c r="O47" s="933"/>
      <c r="P47" s="1049"/>
    </row>
    <row r="48" spans="2:18" ht="13.8" hidden="1" thickBot="1">
      <c r="B48" s="1041"/>
      <c r="C48" s="933"/>
      <c r="D48" s="932"/>
      <c r="E48" s="933"/>
      <c r="F48" s="933"/>
      <c r="G48" s="949"/>
      <c r="H48" s="949"/>
      <c r="I48" s="949"/>
      <c r="J48" s="949"/>
      <c r="K48" s="949"/>
      <c r="L48" s="949"/>
      <c r="M48" s="951"/>
      <c r="N48" s="933"/>
      <c r="O48" s="933"/>
      <c r="P48" s="1047"/>
    </row>
    <row r="49" spans="1:256" ht="18" customHeight="1" thickBot="1">
      <c r="B49" s="1041"/>
      <c r="C49" s="1100" t="s">
        <v>922</v>
      </c>
      <c r="D49" s="932"/>
      <c r="E49" s="933"/>
      <c r="F49" s="933"/>
      <c r="G49" s="933"/>
      <c r="H49" s="949"/>
      <c r="I49" s="949"/>
      <c r="J49" s="949"/>
      <c r="K49" s="949"/>
      <c r="L49" s="956"/>
      <c r="M49" s="979" t="e">
        <f>M37*G37+M38*G38+M39*G39+SUM(M44:M47)</f>
        <v>#REF!</v>
      </c>
      <c r="N49" s="933"/>
      <c r="O49" s="933"/>
      <c r="P49" s="979" t="e">
        <f>P37*G37+P38*G38+P39*G39</f>
        <v>#REF!</v>
      </c>
    </row>
    <row r="50" spans="1:256" ht="18" customHeight="1">
      <c r="B50" s="1041"/>
      <c r="C50" s="933"/>
      <c r="D50" s="932"/>
      <c r="E50" s="933"/>
      <c r="F50" s="933"/>
      <c r="G50" s="933"/>
      <c r="H50" s="949"/>
      <c r="I50" s="949"/>
      <c r="J50" s="949"/>
      <c r="K50" s="949"/>
      <c r="L50" s="956"/>
      <c r="M50" s="980"/>
      <c r="N50" s="933"/>
      <c r="O50" s="933"/>
      <c r="P50" s="1049"/>
    </row>
    <row r="51" spans="1:256" ht="18" customHeight="1" thickBot="1">
      <c r="B51" s="1330" t="s">
        <v>929</v>
      </c>
      <c r="C51" s="931"/>
      <c r="D51" s="936"/>
      <c r="E51" s="931"/>
      <c r="F51" s="933"/>
      <c r="G51" s="934"/>
      <c r="H51" s="934"/>
      <c r="I51" s="934"/>
      <c r="J51" s="934"/>
      <c r="K51" s="934"/>
      <c r="L51" s="1394"/>
      <c r="M51" s="952" t="s">
        <v>698</v>
      </c>
      <c r="N51" s="933"/>
      <c r="O51" s="946"/>
      <c r="P51" s="1044" t="s">
        <v>698</v>
      </c>
    </row>
    <row r="52" spans="1:256" ht="16.5" customHeight="1" thickBot="1">
      <c r="A52"/>
      <c r="B52" s="1330"/>
      <c r="C52" s="1100" t="s">
        <v>599</v>
      </c>
      <c r="D52" s="10"/>
      <c r="E52" s="10"/>
      <c r="F52" s="1331"/>
      <c r="G52" s="10"/>
      <c r="H52" s="10"/>
      <c r="I52" s="10"/>
      <c r="J52" s="10"/>
      <c r="K52" s="10"/>
      <c r="L52" s="1332" t="s">
        <v>600</v>
      </c>
      <c r="M52" s="1333" t="e">
        <f>IF(採点LR1!K32=採点LR1!T31,'CO2計算 (旧)'!M55,'CO2計算 (旧)'!M59)+'CO2計算 (旧)'!M64</f>
        <v>#REF!</v>
      </c>
      <c r="N52" s="933"/>
      <c r="O52" s="1101" t="s">
        <v>601</v>
      </c>
      <c r="P52" s="1333" t="e">
        <f>IF(採点LR1!K32=採点LR1!T31,'CO2計算 (旧)'!P55,'CO2計算 (旧)'!P59)+'CO2計算 (旧)'!P64</f>
        <v>#REF!</v>
      </c>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 customHeight="1">
      <c r="A53"/>
      <c r="B53" s="1330"/>
      <c r="C53" s="1100"/>
      <c r="D53" s="10"/>
      <c r="E53" s="10"/>
      <c r="F53" s="10"/>
      <c r="G53" s="10"/>
      <c r="H53" s="10"/>
      <c r="I53" s="10" t="s">
        <v>900</v>
      </c>
      <c r="J53" s="10"/>
      <c r="K53" s="10" t="s">
        <v>987</v>
      </c>
      <c r="L53" s="1334"/>
      <c r="M53" s="952"/>
      <c r="N53" s="933"/>
      <c r="O53" s="1101"/>
      <c r="P53" s="1335"/>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 customHeight="1">
      <c r="A54"/>
      <c r="B54" s="1330"/>
      <c r="C54" s="1100"/>
      <c r="D54" s="10"/>
      <c r="E54" s="10"/>
      <c r="F54" s="10"/>
      <c r="G54" s="952" t="s">
        <v>985</v>
      </c>
      <c r="H54" s="10"/>
      <c r="I54" s="1371" t="s">
        <v>901</v>
      </c>
      <c r="J54" s="1371" t="s">
        <v>902</v>
      </c>
      <c r="K54" s="932" t="s">
        <v>903</v>
      </c>
      <c r="L54" s="1336"/>
      <c r="M54" s="952" t="s">
        <v>698</v>
      </c>
      <c r="N54" s="933"/>
      <c r="O54" s="946"/>
      <c r="P54" s="1044" t="s">
        <v>698</v>
      </c>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 customHeight="1">
      <c r="A55"/>
      <c r="B55" s="1330"/>
      <c r="C55" s="1100"/>
      <c r="D55" s="10" t="s">
        <v>988</v>
      </c>
      <c r="E55" s="1337"/>
      <c r="F55" s="1194" t="s">
        <v>904</v>
      </c>
      <c r="G55" s="1352">
        <f>メイン!C23</f>
        <v>120.8</v>
      </c>
      <c r="H55" s="10"/>
      <c r="I55" s="1404">
        <f>採点LR1!I19</f>
        <v>96395</v>
      </c>
      <c r="J55" s="1405">
        <f>採点LR1!I21-採点LR1!I22-採点LR1!I23</f>
        <v>-21241</v>
      </c>
      <c r="K55" s="1338" t="e">
        <f>#REF!</f>
        <v>#REF!</v>
      </c>
      <c r="L55" s="1339"/>
      <c r="M55" s="1352" t="e">
        <f>J55*K55/G55</f>
        <v>#REF!</v>
      </c>
      <c r="N55" s="933"/>
      <c r="O55" s="1101"/>
      <c r="P55" s="1372" t="e">
        <f>I55*K55/G55</f>
        <v>#REF!</v>
      </c>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 customHeight="1">
      <c r="A56"/>
      <c r="B56" s="1330"/>
      <c r="C56" s="1100"/>
      <c r="D56" s="10"/>
      <c r="E56" s="1337"/>
      <c r="F56" s="1337"/>
      <c r="G56" s="1337"/>
      <c r="H56" s="1337"/>
      <c r="I56" s="1337"/>
      <c r="J56" s="1337"/>
      <c r="K56" s="1337"/>
      <c r="L56" s="1342"/>
      <c r="M56" s="1342"/>
      <c r="N56" s="1342"/>
      <c r="O56" s="1101"/>
      <c r="P56" s="1335"/>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 customHeight="1">
      <c r="A57"/>
      <c r="B57" s="1330"/>
      <c r="C57" s="1100"/>
      <c r="D57" s="10"/>
      <c r="E57" s="1337"/>
      <c r="F57" s="1373"/>
      <c r="G57" s="1337"/>
      <c r="H57" s="10"/>
      <c r="I57" s="1371" t="s">
        <v>901</v>
      </c>
      <c r="J57" s="1371" t="s">
        <v>902</v>
      </c>
      <c r="K57" s="1194"/>
      <c r="L57" s="1342"/>
      <c r="M57" s="1342"/>
      <c r="N57" s="1342"/>
      <c r="O57" s="1101"/>
      <c r="P57" s="1335"/>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3.2">
      <c r="A58"/>
      <c r="B58" s="1330"/>
      <c r="C58" s="1100"/>
      <c r="D58" s="10"/>
      <c r="E58" s="10"/>
      <c r="F58" s="1373"/>
      <c r="G58" s="1337"/>
      <c r="H58" s="10"/>
      <c r="I58" s="952" t="s">
        <v>983</v>
      </c>
      <c r="J58" s="952" t="s">
        <v>983</v>
      </c>
      <c r="K58" s="1194"/>
      <c r="L58" s="1342"/>
      <c r="M58" s="1342"/>
      <c r="N58" s="1342"/>
      <c r="O58" s="1101"/>
      <c r="P58" s="1335"/>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 customHeight="1">
      <c r="A59"/>
      <c r="B59" s="1330"/>
      <c r="C59" s="1100"/>
      <c r="D59" s="10"/>
      <c r="E59" s="1337" t="s">
        <v>989</v>
      </c>
      <c r="F59" s="1373"/>
      <c r="G59" s="1337"/>
      <c r="H59" s="1194"/>
      <c r="I59" s="1352" t="e">
        <f>#REF!</f>
        <v>#REF!</v>
      </c>
      <c r="J59" s="1352" t="e">
        <f>#REF!</f>
        <v>#REF!</v>
      </c>
      <c r="K59" s="1338" t="e">
        <f>K55</f>
        <v>#REF!</v>
      </c>
      <c r="L59" s="1342"/>
      <c r="M59" s="1352" t="e">
        <f>J59*K59</f>
        <v>#REF!</v>
      </c>
      <c r="N59" s="1342"/>
      <c r="O59" s="1101"/>
      <c r="P59" s="1372" t="e">
        <f>I59*K59</f>
        <v>#REF!</v>
      </c>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 customHeight="1">
      <c r="A60"/>
      <c r="B60" s="1330"/>
      <c r="C60" s="1100"/>
      <c r="D60" s="10"/>
      <c r="E60" s="1337"/>
      <c r="F60" s="1340"/>
      <c r="G60" s="1337"/>
      <c r="H60" s="1194"/>
      <c r="I60" s="1341"/>
      <c r="J60" s="1337"/>
      <c r="K60" s="1342"/>
      <c r="L60" s="1342"/>
      <c r="M60" s="1342"/>
      <c r="N60" s="1342"/>
      <c r="O60" s="1101"/>
      <c r="P60" s="1335"/>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8" customHeight="1">
      <c r="A61"/>
      <c r="B61" s="1330"/>
      <c r="C61" s="1100"/>
      <c r="D61" s="10"/>
      <c r="E61" s="1337"/>
      <c r="F61" s="940" t="s">
        <v>602</v>
      </c>
      <c r="G61" s="941" t="s">
        <v>603</v>
      </c>
      <c r="H61" s="1343"/>
      <c r="I61" s="940" t="s">
        <v>604</v>
      </c>
      <c r="J61" s="940" t="s">
        <v>223</v>
      </c>
      <c r="K61" s="940" t="s">
        <v>605</v>
      </c>
      <c r="L61" s="1344" t="s">
        <v>606</v>
      </c>
      <c r="M61" s="940" t="s">
        <v>607</v>
      </c>
      <c r="N61" s="1342"/>
      <c r="O61" s="1344" t="s">
        <v>608</v>
      </c>
      <c r="P61" s="942" t="s">
        <v>607</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 customHeight="1">
      <c r="A62"/>
      <c r="B62" s="1330"/>
      <c r="C62" s="1100"/>
      <c r="D62" s="1345" t="s">
        <v>990</v>
      </c>
      <c r="E62" s="1337"/>
      <c r="F62" s="944">
        <v>1.1499999999999999</v>
      </c>
      <c r="G62" s="1346" t="s">
        <v>435</v>
      </c>
      <c r="H62" s="1347"/>
      <c r="I62" s="944">
        <v>1</v>
      </c>
      <c r="J62" s="944">
        <v>0.85</v>
      </c>
      <c r="K62" s="944">
        <v>0.7</v>
      </c>
      <c r="L62" s="1348">
        <f>スコア!M74</f>
        <v>4</v>
      </c>
      <c r="M62" s="1349">
        <f>IF(L62&gt;=5,$K62,IF(L62&gt;=4,$J62,IF(L62&gt;=3,$I62,$F62)))</f>
        <v>0.85</v>
      </c>
      <c r="N62" s="933"/>
      <c r="O62" s="1348">
        <v>3</v>
      </c>
      <c r="P62" s="1374">
        <v>1</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 customHeight="1">
      <c r="A63"/>
      <c r="B63" s="1330"/>
      <c r="C63" s="1100"/>
      <c r="D63" s="1345"/>
      <c r="E63" s="1337"/>
      <c r="F63" s="1340"/>
      <c r="G63" s="1337"/>
      <c r="H63" s="1194"/>
      <c r="I63" s="1350" t="s">
        <v>609</v>
      </c>
      <c r="J63" s="1337"/>
      <c r="K63" s="1342"/>
      <c r="L63" s="1336"/>
      <c r="M63" s="960"/>
      <c r="N63" s="933"/>
      <c r="O63" s="1101"/>
      <c r="P63" s="1351"/>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 customHeight="1">
      <c r="A64"/>
      <c r="B64" s="1330"/>
      <c r="C64" s="1100"/>
      <c r="D64" s="1345"/>
      <c r="E64" s="1337" t="s">
        <v>986</v>
      </c>
      <c r="F64" s="1340"/>
      <c r="G64" s="1337"/>
      <c r="H64" s="1194"/>
      <c r="I64" s="1352">
        <v>0.91</v>
      </c>
      <c r="J64" s="932" t="s">
        <v>698</v>
      </c>
      <c r="K64" s="1342"/>
      <c r="L64" s="1336"/>
      <c r="M64" s="1352">
        <f>I64*M62</f>
        <v>0.77349999999999997</v>
      </c>
      <c r="N64" s="933"/>
      <c r="O64" s="1101"/>
      <c r="P64" s="1353">
        <f>I64*P62</f>
        <v>0.91</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 hidden="1" customHeight="1">
      <c r="A65"/>
      <c r="B65" s="1330"/>
      <c r="C65" s="1100"/>
      <c r="D65" s="10"/>
      <c r="E65" s="10"/>
      <c r="F65" s="10"/>
      <c r="G65" s="10"/>
      <c r="H65" s="10"/>
      <c r="I65" s="10"/>
      <c r="J65" s="10"/>
      <c r="K65" s="10"/>
      <c r="L65" s="10"/>
      <c r="M65" s="1354"/>
      <c r="N65" s="933"/>
      <c r="O65" s="1101"/>
      <c r="P65" s="133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8" hidden="1" customHeight="1">
      <c r="A66"/>
      <c r="B66" s="1330"/>
      <c r="C66" s="1100"/>
      <c r="D66" s="1355" t="s">
        <v>610</v>
      </c>
      <c r="E66" s="10"/>
      <c r="F66" s="10"/>
      <c r="G66" s="10"/>
      <c r="H66" s="10"/>
      <c r="I66" s="940" t="s">
        <v>222</v>
      </c>
      <c r="J66" s="940" t="s">
        <v>223</v>
      </c>
      <c r="K66" s="940" t="s">
        <v>224</v>
      </c>
      <c r="L66" s="1344" t="s">
        <v>606</v>
      </c>
      <c r="M66" s="1344" t="s">
        <v>611</v>
      </c>
      <c r="N66" s="933"/>
      <c r="O66" s="1101"/>
      <c r="P66" s="1335"/>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 hidden="1" customHeight="1">
      <c r="A67"/>
      <c r="B67" s="1330"/>
      <c r="C67" s="1100"/>
      <c r="D67" s="10"/>
      <c r="E67" s="10"/>
      <c r="F67" s="10"/>
      <c r="G67" s="10"/>
      <c r="H67" s="10"/>
      <c r="I67" s="1356">
        <v>1</v>
      </c>
      <c r="J67" s="1357">
        <v>0.97499999999999998</v>
      </c>
      <c r="K67" s="1356">
        <v>0.95</v>
      </c>
      <c r="L67" s="1348"/>
      <c r="M67" s="1358">
        <f>IF(L67&gt;=5,$K67,IF(L67&gt;=4,$J67,$I67))</f>
        <v>1</v>
      </c>
      <c r="N67" s="933"/>
      <c r="O67" s="1101"/>
      <c r="P67" s="1335"/>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8" customHeight="1" thickBot="1">
      <c r="A68"/>
      <c r="B68" s="1330"/>
      <c r="C68" s="10"/>
      <c r="D68" s="10"/>
      <c r="E68" s="10"/>
      <c r="F68" s="10"/>
      <c r="G68" s="10"/>
      <c r="H68" s="10"/>
      <c r="I68" s="10"/>
      <c r="J68" s="10"/>
      <c r="K68" s="10"/>
      <c r="L68" s="10"/>
      <c r="M68" s="952"/>
      <c r="N68" s="933"/>
      <c r="O68" s="933"/>
      <c r="P68" s="1044"/>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8" customHeight="1" thickBot="1">
      <c r="A69"/>
      <c r="B69" s="1359"/>
      <c r="C69" s="1100" t="s">
        <v>612</v>
      </c>
      <c r="D69" s="10"/>
      <c r="E69" s="10"/>
      <c r="F69" s="10"/>
      <c r="G69" s="10"/>
      <c r="H69" s="10"/>
      <c r="I69" s="10"/>
      <c r="J69" s="10"/>
      <c r="K69" s="10"/>
      <c r="L69" s="1332" t="s">
        <v>923</v>
      </c>
      <c r="M69" s="1360" t="e">
        <f>M73+M64</f>
        <v>#REF!</v>
      </c>
      <c r="N69" s="10"/>
      <c r="O69" s="10"/>
      <c r="P69" s="1361"/>
      <c r="Q69"/>
      <c r="R69"/>
      <c r="S69" t="s">
        <v>613</v>
      </c>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8" customHeight="1">
      <c r="A70"/>
      <c r="B70" s="1359"/>
      <c r="C70" s="1100"/>
      <c r="D70" s="10"/>
      <c r="E70" s="10" t="s">
        <v>937</v>
      </c>
      <c r="F70" s="10"/>
      <c r="G70" s="10"/>
      <c r="H70" s="10"/>
      <c r="I70" s="1352">
        <f>採点LR1!I24</f>
        <v>0</v>
      </c>
      <c r="J70" s="1337" t="s">
        <v>583</v>
      </c>
      <c r="K70" s="10"/>
      <c r="L70" s="10"/>
      <c r="M70" s="10"/>
      <c r="N70" s="10"/>
      <c r="O70" s="10"/>
      <c r="P70" s="1361"/>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5.6">
      <c r="A71"/>
      <c r="B71" s="1359"/>
      <c r="C71" s="1100"/>
      <c r="D71" s="10"/>
      <c r="E71" s="10"/>
      <c r="F71" s="10"/>
      <c r="G71" s="10"/>
      <c r="H71" s="10"/>
      <c r="I71" s="1375"/>
      <c r="J71" s="1194" t="s">
        <v>905</v>
      </c>
      <c r="K71" s="10" t="s">
        <v>987</v>
      </c>
      <c r="L71" s="10"/>
      <c r="M71" s="10"/>
      <c r="N71" s="10"/>
      <c r="O71" s="10"/>
      <c r="P71" s="1361"/>
      <c r="Q71"/>
      <c r="R71"/>
      <c r="S71" s="826" t="s">
        <v>713</v>
      </c>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5.6">
      <c r="A72"/>
      <c r="B72" s="1359"/>
      <c r="C72" s="1100"/>
      <c r="D72" s="10"/>
      <c r="E72" s="10"/>
      <c r="F72" s="10"/>
      <c r="G72" s="952" t="s">
        <v>984</v>
      </c>
      <c r="H72" s="10"/>
      <c r="I72" s="1371"/>
      <c r="J72" s="1371" t="s">
        <v>583</v>
      </c>
      <c r="K72" s="932" t="s">
        <v>906</v>
      </c>
      <c r="L72" s="10"/>
      <c r="M72" s="952" t="s">
        <v>698</v>
      </c>
      <c r="N72" s="10"/>
      <c r="O72" s="10"/>
      <c r="P72" s="1361"/>
      <c r="Q72"/>
      <c r="R72"/>
      <c r="S72" s="826" t="e">
        <f>#REF!</f>
        <v>#REF!</v>
      </c>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819" customFormat="1" ht="13.2">
      <c r="B73" s="1050"/>
      <c r="C73" s="958"/>
      <c r="D73" s="959"/>
      <c r="E73" s="10"/>
      <c r="F73" s="1194" t="s">
        <v>904</v>
      </c>
      <c r="G73" s="1352">
        <f>G55</f>
        <v>120.8</v>
      </c>
      <c r="H73" s="10"/>
      <c r="I73" s="1371" t="s">
        <v>907</v>
      </c>
      <c r="J73" s="1406">
        <f>IF(採点LR1!K32=採点LR1!T31,J55-I70,J59*G73)</f>
        <v>-21241</v>
      </c>
      <c r="K73" s="1338" t="e">
        <f>K55</f>
        <v>#REF!</v>
      </c>
      <c r="L73" s="10"/>
      <c r="M73" s="1352" t="e">
        <f>J73*K73/G73</f>
        <v>#REF!</v>
      </c>
      <c r="N73" s="961"/>
      <c r="O73" s="961"/>
      <c r="P73" s="1102"/>
    </row>
    <row r="74" spans="1:256" s="819" customFormat="1" ht="13.2">
      <c r="B74" s="1050"/>
      <c r="C74" s="958"/>
      <c r="D74" s="959"/>
      <c r="E74" s="10"/>
      <c r="F74" s="1194"/>
      <c r="G74" s="1375"/>
      <c r="H74" s="10"/>
      <c r="I74" s="1371"/>
      <c r="J74" s="1376"/>
      <c r="K74" s="1340"/>
      <c r="L74" s="10"/>
      <c r="M74" s="1375"/>
      <c r="N74" s="961"/>
      <c r="O74" s="961"/>
      <c r="P74" s="1102"/>
    </row>
    <row r="75" spans="1:256" ht="16.2" thickBot="1">
      <c r="B75" s="1330" t="s">
        <v>930</v>
      </c>
      <c r="C75" s="933"/>
      <c r="D75" s="932"/>
      <c r="E75" s="933"/>
      <c r="F75" s="933"/>
      <c r="G75" s="949"/>
      <c r="H75" s="949"/>
      <c r="I75" s="949"/>
      <c r="J75" s="949"/>
      <c r="K75" s="949"/>
      <c r="L75" s="956"/>
      <c r="M75" s="952" t="s">
        <v>698</v>
      </c>
      <c r="N75" s="933"/>
      <c r="O75" s="933"/>
      <c r="P75" s="1044" t="s">
        <v>698</v>
      </c>
      <c r="S75"/>
    </row>
    <row r="76" spans="1:256" ht="18" customHeight="1">
      <c r="B76" s="1043"/>
      <c r="C76" s="933"/>
      <c r="D76" s="932"/>
      <c r="E76" s="933"/>
      <c r="F76" s="933"/>
      <c r="G76" s="949"/>
      <c r="H76" s="949"/>
      <c r="I76" s="949"/>
      <c r="J76" s="949"/>
      <c r="K76" s="949"/>
      <c r="L76" s="956"/>
      <c r="M76" s="1036" t="s">
        <v>420</v>
      </c>
      <c r="N76" s="933"/>
      <c r="O76" s="937"/>
      <c r="P76" s="1036" t="s">
        <v>225</v>
      </c>
      <c r="S76" t="s">
        <v>167</v>
      </c>
    </row>
    <row r="77" spans="1:256" ht="18" customHeight="1">
      <c r="B77" s="1041"/>
      <c r="C77" s="984" t="s">
        <v>130</v>
      </c>
      <c r="D77" s="953"/>
      <c r="E77" s="953"/>
      <c r="F77" s="953"/>
      <c r="G77" s="954"/>
      <c r="H77" s="949"/>
      <c r="I77" s="949"/>
      <c r="J77" s="949"/>
      <c r="K77" s="949"/>
      <c r="L77" s="956"/>
      <c r="M77" s="1037" t="e">
        <f>M30</f>
        <v>#REF!</v>
      </c>
      <c r="N77" s="933"/>
      <c r="O77" s="933"/>
      <c r="P77" s="1037" t="e">
        <f>P30</f>
        <v>#REF!</v>
      </c>
    </row>
    <row r="78" spans="1:256" ht="18" customHeight="1">
      <c r="B78" s="1041"/>
      <c r="C78" s="984" t="s">
        <v>297</v>
      </c>
      <c r="D78" s="953"/>
      <c r="E78" s="953"/>
      <c r="F78" s="953"/>
      <c r="G78" s="954"/>
      <c r="H78" s="949"/>
      <c r="I78" s="949"/>
      <c r="J78" s="949"/>
      <c r="K78" s="949"/>
      <c r="L78" s="956"/>
      <c r="M78" s="1037" t="e">
        <f>M49</f>
        <v>#REF!</v>
      </c>
      <c r="N78" s="933"/>
      <c r="O78" s="933"/>
      <c r="P78" s="1037" t="e">
        <f>P49</f>
        <v>#REF!</v>
      </c>
    </row>
    <row r="79" spans="1:256" ht="18" customHeight="1">
      <c r="B79" s="1041"/>
      <c r="C79" s="984" t="s">
        <v>131</v>
      </c>
      <c r="D79" s="953"/>
      <c r="E79" s="953"/>
      <c r="F79" s="953"/>
      <c r="G79" s="954"/>
      <c r="H79" s="949"/>
      <c r="I79" s="949"/>
      <c r="J79" s="949"/>
      <c r="K79" s="949"/>
      <c r="L79" s="956"/>
      <c r="M79" s="1098" t="e">
        <f>M69</f>
        <v>#REF!</v>
      </c>
      <c r="N79" s="933"/>
      <c r="O79" s="933"/>
      <c r="P79" s="1038" t="e">
        <f>P52</f>
        <v>#REF!</v>
      </c>
    </row>
    <row r="80" spans="1:256" ht="18" customHeight="1" thickBot="1">
      <c r="B80" s="1051"/>
      <c r="C80" s="1052" t="s">
        <v>63</v>
      </c>
      <c r="D80" s="1053"/>
      <c r="E80" s="1054"/>
      <c r="F80" s="1054"/>
      <c r="G80" s="1055"/>
      <c r="H80" s="1056"/>
      <c r="I80" s="1057"/>
      <c r="J80" s="1057"/>
      <c r="K80" s="1057"/>
      <c r="L80" s="1058"/>
      <c r="M80" s="1099" t="e">
        <f>SUM(M77:M79)</f>
        <v>#REF!</v>
      </c>
      <c r="N80" s="1059"/>
      <c r="O80" s="1059"/>
      <c r="P80" s="1039" t="e">
        <f>IF(COUNTIF(P77:P79,$S$76)&gt;0,$S$76,SUM(P77:P79))</f>
        <v>#REF!</v>
      </c>
    </row>
    <row r="81" spans="3:12" ht="11.25" customHeight="1">
      <c r="C81" s="816"/>
      <c r="D81" s="924"/>
      <c r="E81" s="816"/>
      <c r="F81" s="816"/>
      <c r="G81" s="823"/>
      <c r="H81" s="823"/>
      <c r="I81" s="823"/>
      <c r="J81" s="823"/>
      <c r="K81" s="823"/>
      <c r="L81" s="925"/>
    </row>
    <row r="82" spans="3:12" ht="18" hidden="1" customHeight="1"/>
    <row r="83" spans="3:12" ht="18" hidden="1" customHeight="1"/>
    <row r="84" spans="3:12" ht="18" hidden="1" customHeight="1"/>
    <row r="85" spans="3:12" ht="18" hidden="1" customHeight="1"/>
    <row r="86" spans="3:12" ht="18" hidden="1" customHeight="1"/>
    <row r="87" spans="3:12" ht="18" hidden="1" customHeight="1"/>
    <row r="88" spans="3:12" ht="18" hidden="1" customHeight="1"/>
    <row r="89" spans="3:12" ht="18" hidden="1" customHeight="1"/>
    <row r="90" spans="3:12" ht="18" hidden="1" customHeight="1"/>
    <row r="91" spans="3:12" ht="18" hidden="1" customHeight="1"/>
    <row r="92" spans="3:12" ht="18" hidden="1" customHeight="1"/>
    <row r="93" spans="3:12" ht="18" hidden="1" customHeight="1"/>
    <row r="94" spans="3:12" ht="18" hidden="1" customHeight="1"/>
    <row r="95" spans="3:12" ht="18" hidden="1" customHeight="1"/>
    <row r="96" spans="3:12" ht="18" hidden="1" customHeight="1"/>
    <row r="97" ht="18" hidden="1" customHeight="1"/>
    <row r="98" ht="18" hidden="1" customHeight="1"/>
    <row r="99" ht="18" hidden="1" customHeight="1"/>
    <row r="100" ht="18" hidden="1" customHeight="1"/>
    <row r="101" ht="18" hidden="1" customHeight="1"/>
    <row r="102" ht="18" hidden="1" customHeight="1"/>
    <row r="103" ht="18" hidden="1" customHeight="1"/>
    <row r="104" ht="18" hidden="1" customHeight="1"/>
    <row r="105" ht="18" hidden="1" customHeight="1"/>
    <row r="106" ht="18" hidden="1" customHeight="1"/>
    <row r="107" ht="18" hidden="1" customHeight="1"/>
    <row r="108" ht="18" hidden="1" customHeight="1"/>
    <row r="109" ht="18" hidden="1" customHeight="1"/>
    <row r="110" ht="18" hidden="1" customHeight="1"/>
    <row r="111" ht="18" hidden="1" customHeight="1"/>
    <row r="112" ht="18" hidden="1" customHeight="1"/>
    <row r="113" ht="18" hidden="1" customHeight="1"/>
    <row r="114" ht="18" hidden="1" customHeight="1"/>
    <row r="115" ht="18" hidden="1" customHeight="1"/>
    <row r="116" ht="18" hidden="1" customHeight="1"/>
    <row r="117" ht="18" hidden="1" customHeight="1"/>
    <row r="118" ht="18" hidden="1" customHeight="1"/>
    <row r="119" ht="18" hidden="1" customHeight="1"/>
    <row r="120" ht="18" hidden="1" customHeight="1"/>
    <row r="121" ht="18" hidden="1" customHeight="1"/>
    <row r="122" ht="18" hidden="1" customHeight="1"/>
    <row r="123" ht="18" hidden="1" customHeight="1"/>
    <row r="124" ht="18" hidden="1" customHeight="1"/>
    <row r="125" ht="18" hidden="1" customHeight="1"/>
    <row r="126" ht="18" hidden="1" customHeight="1"/>
    <row r="127" ht="18" hidden="1" customHeight="1"/>
    <row r="128" ht="18" hidden="1" customHeight="1"/>
    <row r="129" ht="18" hidden="1" customHeight="1"/>
    <row r="130" ht="18" hidden="1" customHeight="1"/>
    <row r="131" ht="18" hidden="1" customHeight="1"/>
    <row r="132" ht="18" hidden="1" customHeight="1"/>
    <row r="133" ht="18" hidden="1" customHeight="1"/>
    <row r="134" ht="18" hidden="1" customHeight="1"/>
    <row r="135" ht="18" hidden="1" customHeight="1"/>
  </sheetData>
  <mergeCells count="7">
    <mergeCell ref="L35:M35"/>
    <mergeCell ref="O35:P35"/>
    <mergeCell ref="L2:M2"/>
    <mergeCell ref="L3:M3"/>
    <mergeCell ref="L9:M9"/>
    <mergeCell ref="O9:P9"/>
    <mergeCell ref="L20:M20"/>
  </mergeCells>
  <phoneticPr fontId="4"/>
  <conditionalFormatting sqref="I20">
    <cfRule type="cellIs" dxfId="175" priority="1" stopIfTrue="1" operator="equal">
      <formula>5</formula>
    </cfRule>
    <cfRule type="cellIs" dxfId="174" priority="2" stopIfTrue="1" operator="equal">
      <formula>4</formula>
    </cfRule>
    <cfRule type="cellIs" dxfId="173" priority="3" stopIfTrue="1" operator="equal">
      <formula>2</formula>
    </cfRule>
  </conditionalFormatting>
  <conditionalFormatting sqref="Q5:IV6 I7 Q7:Q8 R7:IV17 I9 Q11:Q17 Q18:IV32 G19 G30:G31 Q33:Q34 R33:IV50 I35 Q37:Q50 G49:G50 Q51:IV51 Q73:R65556 T73:IV65556 F77 S77:S65556 F79">
    <cfRule type="cellIs" dxfId="172" priority="4" stopIfTrue="1" operator="equal">
      <formula>5</formula>
    </cfRule>
    <cfRule type="cellIs" dxfId="171" priority="5" stopIfTrue="1" operator="equal">
      <formula>4</formula>
    </cfRule>
    <cfRule type="cellIs" dxfId="170" priority="6" stopIfTrue="1" operator="equal">
      <formula>2</formula>
    </cfRule>
  </conditionalFormatting>
  <printOptions horizontalCentered="1"/>
  <pageMargins left="1.1811023622047245" right="0.98425196850393704" top="0.78740157480314965" bottom="0.78740157480314965" header="0.51181102362204722" footer="0.51181102362204722"/>
  <pageSetup paperSize="9" scale="62" fitToHeight="0" orientation="portrait" horizontalDpi="300" verticalDpi="300" r:id="rId1"/>
  <headerFooter alignWithMargins="0">
    <oddHeader>&amp;L&amp;F&amp;R&amp;A</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autoPageBreaks="0" fitToPage="1"/>
  </sheetPr>
  <dimension ref="A1:Z216"/>
  <sheetViews>
    <sheetView showGridLines="0" topLeftCell="A38" zoomScaleNormal="100" workbookViewId="0">
      <selection activeCell="D217" sqref="D217:D218"/>
    </sheetView>
  </sheetViews>
  <sheetFormatPr defaultColWidth="0" defaultRowHeight="15.6"/>
  <cols>
    <col min="1" max="1" width="1.33203125" style="4" customWidth="1"/>
    <col min="2" max="2" width="4.6640625" style="513" customWidth="1"/>
    <col min="3" max="3" width="1.44140625" style="15" customWidth="1"/>
    <col min="4" max="4" width="11.109375" style="507" customWidth="1"/>
    <col min="5" max="13" width="11.109375" style="4" customWidth="1"/>
    <col min="14" max="14" width="1.6640625" style="4" customWidth="1"/>
    <col min="15" max="17" width="0" style="121" hidden="1" customWidth="1"/>
    <col min="18" max="26" width="0" style="4" hidden="1" customWidth="1"/>
    <col min="27" max="16384" width="8.88671875" style="4" hidden="1"/>
  </cols>
  <sheetData>
    <row r="1" spans="1:25" s="29" customFormat="1" ht="22.5" customHeight="1">
      <c r="A1" s="19"/>
      <c r="B1" s="137"/>
      <c r="C1" s="22"/>
      <c r="D1" s="129"/>
      <c r="E1" s="19"/>
      <c r="F1" s="19"/>
      <c r="G1" s="19"/>
      <c r="H1" s="19"/>
      <c r="I1" s="19"/>
      <c r="J1" s="19"/>
      <c r="K1" s="861" t="s">
        <v>362</v>
      </c>
      <c r="L1" s="862" t="str">
        <f>IF(メイン!$C$10="","",メイン!$C$10)</f>
        <v>あおもりGX</v>
      </c>
      <c r="M1" s="863"/>
      <c r="N1" s="22"/>
      <c r="O1" s="121"/>
      <c r="P1" s="121"/>
      <c r="Q1" s="121"/>
    </row>
    <row r="2" spans="1:25" s="29" customFormat="1" ht="9" customHeight="1" thickBot="1">
      <c r="A2" s="19"/>
      <c r="B2" s="137"/>
      <c r="C2" s="22"/>
      <c r="D2" s="129"/>
      <c r="E2" s="19"/>
      <c r="F2" s="19"/>
      <c r="G2" s="19"/>
      <c r="H2" s="19"/>
      <c r="I2" s="19"/>
      <c r="J2" s="19"/>
      <c r="K2" s="860"/>
      <c r="L2" s="317"/>
      <c r="M2" s="19"/>
      <c r="N2" s="22"/>
      <c r="O2" s="121"/>
      <c r="P2" s="121"/>
      <c r="Q2" s="121"/>
    </row>
    <row r="3" spans="1:25" s="29" customFormat="1" ht="21.6" thickBot="1">
      <c r="A3" s="19"/>
      <c r="B3" s="269" t="s">
        <v>944</v>
      </c>
      <c r="C3" s="22"/>
      <c r="D3" s="129"/>
      <c r="E3" s="19"/>
      <c r="F3" s="19"/>
      <c r="G3" s="19"/>
      <c r="H3" s="124"/>
      <c r="I3" s="41" t="s">
        <v>66</v>
      </c>
      <c r="J3" s="21"/>
      <c r="K3" s="19"/>
      <c r="L3" s="19"/>
      <c r="M3" s="129"/>
      <c r="N3" s="22"/>
      <c r="O3" s="111"/>
      <c r="P3" s="275" t="s">
        <v>88</v>
      </c>
      <c r="R3" s="283">
        <v>0</v>
      </c>
      <c r="S3" s="35"/>
      <c r="T3" s="278"/>
      <c r="U3" s="278"/>
      <c r="V3" s="278" t="str">
        <f>メイン!O32</f>
        <v>基本設計段階</v>
      </c>
    </row>
    <row r="4" spans="1:25" s="29" customFormat="1" ht="6" customHeight="1">
      <c r="A4" s="19"/>
      <c r="B4" s="19"/>
      <c r="C4" s="22"/>
      <c r="D4" s="129"/>
      <c r="E4" s="19"/>
      <c r="F4" s="19"/>
      <c r="G4" s="19"/>
      <c r="H4" s="19"/>
      <c r="I4" s="19"/>
      <c r="J4" s="19"/>
      <c r="K4" s="19"/>
      <c r="L4" s="19"/>
      <c r="M4" s="19"/>
      <c r="N4" s="22"/>
      <c r="R4" s="283">
        <v>1</v>
      </c>
      <c r="S4" s="35"/>
      <c r="T4" s="278" t="s">
        <v>89</v>
      </c>
      <c r="U4" s="278" t="s">
        <v>90</v>
      </c>
      <c r="V4" s="278" t="str">
        <f>メイン!O33</f>
        <v>実施設計段階</v>
      </c>
    </row>
    <row r="5" spans="1:25" s="147" customFormat="1" ht="13.5" customHeight="1">
      <c r="A5" s="22"/>
      <c r="B5" s="513">
        <v>1</v>
      </c>
      <c r="C5" s="23" t="s">
        <v>427</v>
      </c>
      <c r="D5" s="23"/>
      <c r="E5" s="19"/>
      <c r="F5" s="22"/>
      <c r="G5" s="22"/>
      <c r="H5" s="22"/>
      <c r="I5" s="22"/>
      <c r="J5" s="22"/>
      <c r="K5" s="22"/>
      <c r="L5" s="22"/>
      <c r="M5" s="22"/>
      <c r="N5" s="22"/>
      <c r="P5" s="284"/>
      <c r="Q5" s="29"/>
      <c r="R5" s="283">
        <v>2</v>
      </c>
      <c r="S5" s="264"/>
      <c r="T5" s="264"/>
      <c r="U5" s="264"/>
      <c r="V5" s="278" t="str">
        <f>メイン!O34</f>
        <v>竣工段階</v>
      </c>
      <c r="W5" s="29"/>
      <c r="X5" s="29"/>
      <c r="Y5" s="29"/>
    </row>
    <row r="6" spans="1:25" s="147" customFormat="1" ht="13.2" customHeight="1">
      <c r="A6" s="22"/>
      <c r="B6" s="137">
        <v>1.1000000000000001</v>
      </c>
      <c r="C6" s="24" t="s">
        <v>428</v>
      </c>
      <c r="D6" s="23"/>
      <c r="E6" s="19"/>
      <c r="F6" s="22"/>
      <c r="G6" s="22"/>
      <c r="H6" s="22"/>
      <c r="I6" s="22"/>
      <c r="J6" s="22"/>
      <c r="K6" s="22"/>
      <c r="L6" s="22"/>
      <c r="M6" s="22"/>
      <c r="N6" s="22"/>
      <c r="P6" s="284"/>
      <c r="Q6" s="29"/>
      <c r="R6" s="283" t="s">
        <v>87</v>
      </c>
      <c r="S6" s="264"/>
      <c r="T6" s="113"/>
      <c r="U6" s="113"/>
      <c r="V6" s="278">
        <f>メイン!O31</f>
        <v>0</v>
      </c>
    </row>
    <row r="7" spans="1:25" s="147" customFormat="1" ht="16.5" customHeight="1" thickBot="1">
      <c r="A7" s="22"/>
      <c r="B7" s="267"/>
      <c r="C7" s="22"/>
      <c r="D7" s="513" t="s">
        <v>932</v>
      </c>
      <c r="E7" s="361"/>
      <c r="F7" s="260"/>
      <c r="L7" s="148" t="s">
        <v>2</v>
      </c>
      <c r="M7" s="38">
        <f>重み!M12</f>
        <v>0.8</v>
      </c>
      <c r="N7" s="22"/>
      <c r="O7" s="29">
        <f>C7</f>
        <v>0</v>
      </c>
      <c r="P7" s="29" t="str">
        <f>D7</f>
        <v>1.1.1　断熱等性能の確保</v>
      </c>
      <c r="Q7" s="29">
        <f>E7</f>
        <v>0</v>
      </c>
      <c r="R7" s="29">
        <f>F7</f>
        <v>0</v>
      </c>
      <c r="S7" s="29" t="str">
        <f>L7</f>
        <v>重み係数＝</v>
      </c>
      <c r="T7" s="29">
        <f>M7</f>
        <v>0.8</v>
      </c>
    </row>
    <row r="8" spans="1:25" s="29" customFormat="1" ht="16.5" customHeight="1" thickBot="1">
      <c r="A8" s="19"/>
      <c r="B8" s="137"/>
      <c r="C8" s="504"/>
      <c r="D8" s="864">
        <v>5</v>
      </c>
      <c r="E8" s="2934" t="s">
        <v>415</v>
      </c>
      <c r="F8" s="2935"/>
      <c r="G8" s="2935"/>
      <c r="H8" s="2935"/>
      <c r="I8" s="2935"/>
      <c r="J8" s="2935"/>
      <c r="K8" s="2935"/>
      <c r="L8" s="2935"/>
      <c r="M8" s="2936"/>
      <c r="N8" s="22"/>
      <c r="O8" s="121"/>
      <c r="Q8" s="121"/>
    </row>
    <row r="9" spans="1:25" s="29" customFormat="1" ht="16.5" customHeight="1">
      <c r="A9" s="19"/>
      <c r="B9" s="137"/>
      <c r="C9" s="504"/>
      <c r="D9" s="401" t="str">
        <f>IF(D8=$Q$14,$R$9,IF(ROUNDDOWN(D8,0)=$Q$9,$S$9,$R$9))</f>
        <v>　レベル　1</v>
      </c>
      <c r="E9" s="522" t="s">
        <v>783</v>
      </c>
      <c r="F9" s="2624"/>
      <c r="G9" s="2624"/>
      <c r="H9" s="2624"/>
      <c r="I9" s="2624"/>
      <c r="J9" s="2624"/>
      <c r="K9" s="2624"/>
      <c r="L9" s="2624"/>
      <c r="M9" s="2625"/>
      <c r="N9" s="22"/>
      <c r="P9" s="491">
        <f>$Q$9</f>
        <v>1</v>
      </c>
      <c r="Q9" s="276">
        <v>1</v>
      </c>
      <c r="R9" s="279" t="s">
        <v>486</v>
      </c>
      <c r="S9" s="277" t="s">
        <v>82</v>
      </c>
      <c r="T9" s="113"/>
    </row>
    <row r="10" spans="1:25" s="29" customFormat="1" ht="16.5" customHeight="1">
      <c r="A10" s="19"/>
      <c r="B10" s="137"/>
      <c r="C10" s="504"/>
      <c r="D10" s="31" t="str">
        <f>IF(D8=$Q$14,$R$10,IF(ROUNDDOWN(D8,0)=$Q$10,$S$10,$R$10))</f>
        <v>　レベル　2</v>
      </c>
      <c r="E10" s="146" t="s">
        <v>1684</v>
      </c>
      <c r="F10" s="2626"/>
      <c r="G10" s="2626"/>
      <c r="H10" s="2626"/>
      <c r="I10" s="2626"/>
      <c r="J10" s="2626"/>
      <c r="K10" s="2626"/>
      <c r="L10" s="2626"/>
      <c r="M10" s="2627"/>
      <c r="N10" s="22"/>
      <c r="P10" s="491">
        <f>$Q$10</f>
        <v>2</v>
      </c>
      <c r="Q10" s="276">
        <v>2</v>
      </c>
      <c r="R10" s="279" t="s">
        <v>487</v>
      </c>
      <c r="S10" s="277" t="s">
        <v>83</v>
      </c>
      <c r="T10" s="113"/>
    </row>
    <row r="11" spans="1:25" s="29" customFormat="1" ht="16.5" customHeight="1">
      <c r="A11" s="19"/>
      <c r="B11" s="137"/>
      <c r="C11" s="504"/>
      <c r="D11" s="31" t="str">
        <f>IF(D8=$Q$14,$R$11,IF(ROUNDDOWN(D8,0)=$Q$11,$S$11,$R$11))</f>
        <v>　レベル　3</v>
      </c>
      <c r="E11" s="146" t="s">
        <v>1685</v>
      </c>
      <c r="F11" s="2626"/>
      <c r="G11" s="2626"/>
      <c r="H11" s="2626"/>
      <c r="I11" s="2626"/>
      <c r="J11" s="2626"/>
      <c r="K11" s="2626"/>
      <c r="L11" s="2626"/>
      <c r="M11" s="2627"/>
      <c r="N11" s="22"/>
      <c r="P11" s="491">
        <f>$Q$11</f>
        <v>3</v>
      </c>
      <c r="Q11" s="276">
        <v>3</v>
      </c>
      <c r="R11" s="279" t="s">
        <v>488</v>
      </c>
      <c r="S11" s="277" t="s">
        <v>84</v>
      </c>
      <c r="T11" s="113"/>
    </row>
    <row r="12" spans="1:25" s="29" customFormat="1" ht="16.5" customHeight="1">
      <c r="A12" s="19"/>
      <c r="B12" s="137"/>
      <c r="C12" s="504"/>
      <c r="D12" s="31" t="str">
        <f>IF(D8=$Q$14,$R$12,IF(ROUNDDOWN(D8,0)=$Q$12,$S$12,$R$12))</f>
        <v>　レベル　4</v>
      </c>
      <c r="E12" s="146" t="s">
        <v>1686</v>
      </c>
      <c r="F12" s="2626"/>
      <c r="G12" s="2626"/>
      <c r="H12" s="2626"/>
      <c r="I12" s="2626"/>
      <c r="J12" s="2626"/>
      <c r="K12" s="2626"/>
      <c r="L12" s="2626"/>
      <c r="M12" s="2627"/>
      <c r="N12" s="22"/>
      <c r="P12" s="491">
        <v>4</v>
      </c>
      <c r="Q12" s="276">
        <v>4</v>
      </c>
      <c r="R12" s="279" t="s">
        <v>489</v>
      </c>
      <c r="S12" s="277" t="s">
        <v>85</v>
      </c>
      <c r="T12" s="113"/>
    </row>
    <row r="13" spans="1:25" s="29" customFormat="1" ht="16.5" customHeight="1">
      <c r="A13" s="19"/>
      <c r="B13" s="137"/>
      <c r="C13" s="504"/>
      <c r="D13" s="359" t="str">
        <f>IF(D8=$Q$14,$R$13,IF(ROUNDDOWN(D8,0)=$Q$13,$S$13,$R$13))</f>
        <v>■レベル　5</v>
      </c>
      <c r="E13" s="645" t="s">
        <v>1687</v>
      </c>
      <c r="F13" s="2628"/>
      <c r="G13" s="2628"/>
      <c r="H13" s="2628"/>
      <c r="I13" s="2628"/>
      <c r="J13" s="2628"/>
      <c r="K13" s="2628"/>
      <c r="L13" s="2628"/>
      <c r="M13" s="2629"/>
      <c r="N13" s="22"/>
      <c r="P13" s="491">
        <f>$Q$13</f>
        <v>5</v>
      </c>
      <c r="Q13" s="276">
        <v>5</v>
      </c>
      <c r="R13" s="279" t="s">
        <v>490</v>
      </c>
      <c r="S13" s="277" t="s">
        <v>86</v>
      </c>
      <c r="T13" s="113"/>
    </row>
    <row r="14" spans="1:25" s="29" customFormat="1" ht="8.25" customHeight="1">
      <c r="A14" s="19"/>
      <c r="B14" s="137"/>
      <c r="C14" s="504"/>
      <c r="D14" s="270"/>
      <c r="E14" s="270"/>
      <c r="F14" s="2"/>
      <c r="G14" s="2"/>
      <c r="H14" s="2"/>
      <c r="I14" s="2"/>
      <c r="J14" s="2"/>
      <c r="K14" s="2"/>
      <c r="L14" s="2"/>
      <c r="M14" s="2"/>
      <c r="N14" s="22"/>
      <c r="P14" s="491" t="s">
        <v>68</v>
      </c>
      <c r="Q14" s="284" t="s">
        <v>87</v>
      </c>
      <c r="R14" s="4"/>
      <c r="S14" s="4"/>
      <c r="T14" s="113"/>
    </row>
    <row r="15" spans="1:25" s="29" customFormat="1" ht="21" customHeight="1">
      <c r="A15" s="19"/>
      <c r="B15" s="137"/>
      <c r="C15" s="504"/>
      <c r="E15" s="646" t="s">
        <v>3</v>
      </c>
      <c r="F15" s="647"/>
      <c r="G15" s="2441"/>
      <c r="H15" s="2442"/>
      <c r="I15" s="990"/>
      <c r="J15" s="990"/>
      <c r="K15" s="990"/>
      <c r="L15" s="990"/>
      <c r="M15" s="991"/>
      <c r="N15" s="22"/>
      <c r="P15" s="511"/>
      <c r="Q15" s="284"/>
      <c r="R15" s="4"/>
      <c r="S15" s="4"/>
      <c r="T15" s="113"/>
      <c r="U15" s="511"/>
      <c r="V15" s="113"/>
      <c r="W15" s="113"/>
      <c r="X15" s="113"/>
      <c r="Y15" s="113"/>
    </row>
    <row r="16" spans="1:25" s="29" customFormat="1">
      <c r="A16" s="19"/>
      <c r="B16" s="137"/>
      <c r="C16" s="504"/>
      <c r="N16" s="22"/>
      <c r="U16" s="511"/>
      <c r="V16" s="113"/>
      <c r="W16" s="113"/>
      <c r="X16" s="113"/>
      <c r="Y16" s="113"/>
    </row>
    <row r="17" spans="1:25" s="29" customFormat="1" ht="16.5" customHeight="1" thickBot="1">
      <c r="A17" s="19"/>
      <c r="B17" s="137"/>
      <c r="C17" s="504"/>
      <c r="D17" s="513" t="s">
        <v>374</v>
      </c>
      <c r="E17" s="361"/>
      <c r="F17" s="260"/>
      <c r="L17" s="148" t="s">
        <v>2</v>
      </c>
      <c r="M17" s="38">
        <f>重み!M13</f>
        <v>0.2</v>
      </c>
      <c r="N17" s="22"/>
      <c r="P17" s="29" t="str">
        <f>D17</f>
        <v>1.1.2　日射の調整機能</v>
      </c>
      <c r="Q17" s="29">
        <f>E17</f>
        <v>0</v>
      </c>
      <c r="R17" s="29">
        <f>F17</f>
        <v>0</v>
      </c>
      <c r="S17" s="29" t="str">
        <f>L17</f>
        <v>重み係数＝</v>
      </c>
      <c r="T17" s="29">
        <f>M17</f>
        <v>0.2</v>
      </c>
      <c r="U17" s="511"/>
      <c r="V17" s="113"/>
      <c r="W17" s="113"/>
      <c r="X17" s="113"/>
      <c r="Y17" s="113"/>
    </row>
    <row r="18" spans="1:25" s="29" customFormat="1" ht="16.5" customHeight="1" thickBot="1">
      <c r="A18" s="19"/>
      <c r="B18" s="137"/>
      <c r="C18" s="504"/>
      <c r="D18" s="864">
        <v>4</v>
      </c>
      <c r="E18" s="2934" t="s">
        <v>415</v>
      </c>
      <c r="F18" s="2935"/>
      <c r="G18" s="2935"/>
      <c r="H18" s="2935"/>
      <c r="I18" s="2935"/>
      <c r="J18" s="2935"/>
      <c r="K18" s="2935"/>
      <c r="L18" s="2935"/>
      <c r="M18" s="2936"/>
      <c r="N18" s="22"/>
      <c r="U18" s="511"/>
      <c r="V18" s="113"/>
      <c r="W18" s="113"/>
      <c r="X18" s="113"/>
      <c r="Y18" s="113"/>
    </row>
    <row r="19" spans="1:25" s="29" customFormat="1" ht="16.5" customHeight="1">
      <c r="A19" s="19"/>
      <c r="B19" s="137"/>
      <c r="C19" s="504"/>
      <c r="D19" s="25" t="str">
        <f>IF(D18=$Q$14,$R$9,IF(ROUNDDOWN(D18,0)=$Q$9,$S$9,$R$9))</f>
        <v>　レベル　1</v>
      </c>
      <c r="E19" s="522" t="s">
        <v>822</v>
      </c>
      <c r="F19" s="638"/>
      <c r="G19" s="638"/>
      <c r="H19" s="638"/>
      <c r="I19" s="638"/>
      <c r="J19" s="638"/>
      <c r="K19" s="638"/>
      <c r="L19" s="638"/>
      <c r="M19" s="639"/>
      <c r="N19" s="22"/>
      <c r="P19" s="491">
        <f>$Q$9</f>
        <v>1</v>
      </c>
      <c r="Q19" s="113"/>
      <c r="R19" s="113"/>
      <c r="S19" s="113"/>
      <c r="T19" s="113"/>
      <c r="U19" s="511"/>
      <c r="V19" s="113"/>
      <c r="W19" s="113"/>
      <c r="X19" s="113"/>
      <c r="Y19" s="113"/>
    </row>
    <row r="20" spans="1:25" s="29" customFormat="1" ht="16.5" customHeight="1">
      <c r="A20" s="19"/>
      <c r="B20" s="137"/>
      <c r="C20" s="504"/>
      <c r="D20" s="28" t="str">
        <f>IF(D18=$Q$14,$R$10,IF(ROUNDDOWN(D18,0)=$Q$10,$S$10,$R$10))</f>
        <v>　レベル　2</v>
      </c>
      <c r="E20" s="146" t="s">
        <v>409</v>
      </c>
      <c r="F20" s="2626"/>
      <c r="G20" s="2626"/>
      <c r="H20" s="2626"/>
      <c r="I20" s="2626"/>
      <c r="J20" s="2626"/>
      <c r="K20" s="2626"/>
      <c r="L20" s="2626"/>
      <c r="M20" s="2627"/>
      <c r="N20" s="22"/>
      <c r="P20" s="491" t="s">
        <v>827</v>
      </c>
      <c r="Q20" s="113"/>
      <c r="R20" s="113"/>
      <c r="S20" s="113"/>
      <c r="T20" s="113"/>
      <c r="U20" s="511"/>
      <c r="V20" s="113"/>
      <c r="W20" s="113"/>
      <c r="X20" s="113"/>
      <c r="Y20" s="113"/>
    </row>
    <row r="21" spans="1:25" s="29" customFormat="1" ht="16.5" customHeight="1">
      <c r="A21" s="19"/>
      <c r="B21" s="137"/>
      <c r="C21" s="504"/>
      <c r="D21" s="28" t="str">
        <f>IF(D18=$Q$14,$R$11,IF(ROUNDDOWN(D18,0)=$Q$11,$S$11,$R$11))</f>
        <v>　レベル　3</v>
      </c>
      <c r="E21" s="146" t="s">
        <v>475</v>
      </c>
      <c r="F21" s="2626"/>
      <c r="G21" s="2626"/>
      <c r="H21" s="2626"/>
      <c r="I21" s="2626"/>
      <c r="J21" s="2626"/>
      <c r="K21" s="2626"/>
      <c r="L21" s="2626"/>
      <c r="M21" s="2627"/>
      <c r="N21" s="22"/>
      <c r="P21" s="491">
        <f>$Q$11</f>
        <v>3</v>
      </c>
      <c r="Q21" s="113"/>
      <c r="R21" s="113"/>
      <c r="S21" s="113"/>
      <c r="T21" s="113"/>
      <c r="U21" s="511"/>
      <c r="V21" s="113"/>
      <c r="W21" s="113"/>
      <c r="X21" s="113"/>
      <c r="Y21" s="113"/>
    </row>
    <row r="22" spans="1:25" s="29" customFormat="1" ht="16.5" customHeight="1">
      <c r="A22" s="19"/>
      <c r="B22" s="137"/>
      <c r="C22" s="504"/>
      <c r="D22" s="28" t="str">
        <f>IF(D18=$Q$14,$R$12,IF(ROUNDDOWN(D18,0)=$Q$12,$S$12,$R$12))</f>
        <v>■レベル　4</v>
      </c>
      <c r="E22" s="146" t="s">
        <v>476</v>
      </c>
      <c r="F22" s="2626"/>
      <c r="G22" s="2626"/>
      <c r="H22" s="2626"/>
      <c r="I22" s="2626"/>
      <c r="J22" s="2626"/>
      <c r="K22" s="2626"/>
      <c r="L22" s="2626"/>
      <c r="M22" s="2627"/>
      <c r="N22" s="22"/>
      <c r="P22" s="491">
        <f>$Q$12</f>
        <v>4</v>
      </c>
      <c r="Q22" s="113"/>
      <c r="R22" s="113"/>
      <c r="S22" s="113"/>
      <c r="T22" s="113"/>
      <c r="U22" s="511"/>
      <c r="V22" s="113"/>
      <c r="W22" s="113"/>
      <c r="X22" s="113"/>
      <c r="Y22" s="113"/>
    </row>
    <row r="23" spans="1:25" s="29" customFormat="1" ht="16.5" customHeight="1">
      <c r="A23" s="19"/>
      <c r="B23" s="137"/>
      <c r="C23" s="504"/>
      <c r="D23" s="26" t="str">
        <f>IF(D18=$Q$14,$R$13,IF(ROUNDDOWN(D18,0)=$Q$13,$S$13,$R$13))</f>
        <v>　レベル　5</v>
      </c>
      <c r="E23" s="645" t="s">
        <v>36</v>
      </c>
      <c r="F23" s="2628"/>
      <c r="G23" s="2628"/>
      <c r="H23" s="2628"/>
      <c r="I23" s="2628"/>
      <c r="J23" s="2628"/>
      <c r="K23" s="2628"/>
      <c r="L23" s="2628"/>
      <c r="M23" s="2629"/>
      <c r="N23" s="22"/>
      <c r="P23" s="491">
        <f>$Q$13</f>
        <v>5</v>
      </c>
      <c r="Q23" s="113"/>
      <c r="R23" s="113"/>
      <c r="S23" s="113"/>
      <c r="T23" s="113"/>
      <c r="U23" s="511"/>
      <c r="V23" s="113"/>
      <c r="W23" s="113"/>
      <c r="X23" s="113"/>
      <c r="Y23" s="113"/>
    </row>
    <row r="24" spans="1:25" s="29" customFormat="1" ht="8.25" customHeight="1">
      <c r="A24" s="19"/>
      <c r="B24" s="137"/>
      <c r="C24" s="504"/>
      <c r="D24" s="270"/>
      <c r="E24" s="270"/>
      <c r="F24" s="2"/>
      <c r="G24" s="2"/>
      <c r="H24" s="2"/>
      <c r="I24" s="2"/>
      <c r="J24" s="2"/>
      <c r="K24" s="2"/>
      <c r="L24" s="2"/>
      <c r="M24" s="2"/>
      <c r="N24" s="22"/>
      <c r="P24" s="491" t="str">
        <f>Q24</f>
        <v>対象外</v>
      </c>
      <c r="Q24" s="284" t="s">
        <v>87</v>
      </c>
      <c r="R24" s="4"/>
      <c r="S24" s="4"/>
      <c r="T24" s="113"/>
    </row>
    <row r="25" spans="1:25" s="29" customFormat="1" ht="21" customHeight="1">
      <c r="A25" s="19"/>
      <c r="B25" s="137"/>
      <c r="C25" s="504"/>
      <c r="E25" s="646" t="s">
        <v>3</v>
      </c>
      <c r="F25" s="647"/>
      <c r="G25" s="2441"/>
      <c r="H25" s="2442"/>
      <c r="I25" s="990"/>
      <c r="J25" s="990"/>
      <c r="K25" s="990"/>
      <c r="L25" s="990"/>
      <c r="M25" s="991"/>
      <c r="N25" s="22"/>
      <c r="P25" s="511"/>
      <c r="Q25" s="284"/>
      <c r="R25" s="4"/>
      <c r="S25" s="4"/>
      <c r="T25" s="113"/>
      <c r="U25" s="511"/>
      <c r="V25" s="113"/>
      <c r="W25" s="113"/>
      <c r="X25" s="113"/>
      <c r="Y25" s="113"/>
    </row>
    <row r="26" spans="1:25" s="29" customFormat="1" ht="9.75" customHeight="1">
      <c r="A26" s="19"/>
      <c r="B26" s="137"/>
      <c r="C26" s="504"/>
      <c r="D26" s="129"/>
      <c r="E26" s="19"/>
      <c r="F26" s="19"/>
      <c r="G26" s="19"/>
      <c r="H26" s="19"/>
      <c r="I26" s="19"/>
      <c r="J26" s="19"/>
      <c r="K26" s="19"/>
      <c r="L26" s="19"/>
      <c r="M26" s="19"/>
      <c r="N26" s="22"/>
      <c r="O26" s="121"/>
      <c r="P26" s="121"/>
      <c r="Q26" s="121"/>
    </row>
    <row r="27" spans="1:25" s="147" customFormat="1">
      <c r="A27" s="22"/>
      <c r="B27" s="513">
        <v>1.2</v>
      </c>
      <c r="C27" s="24" t="s">
        <v>503</v>
      </c>
      <c r="D27" s="23"/>
      <c r="E27" s="271"/>
      <c r="F27" s="22"/>
      <c r="G27" s="22"/>
      <c r="H27" s="22"/>
      <c r="I27" s="22"/>
      <c r="J27" s="271"/>
      <c r="K27" s="22"/>
      <c r="L27" s="22"/>
      <c r="M27" s="22"/>
      <c r="N27" s="22"/>
      <c r="O27" s="122"/>
      <c r="P27" s="122"/>
      <c r="Q27" s="122"/>
    </row>
    <row r="28" spans="1:25" ht="16.5" customHeight="1" thickBot="1">
      <c r="A28" s="2"/>
      <c r="B28" s="268"/>
      <c r="C28" s="22"/>
      <c r="D28" s="513" t="s">
        <v>373</v>
      </c>
      <c r="E28" s="361"/>
      <c r="F28" s="125"/>
      <c r="L28" s="148" t="s">
        <v>2</v>
      </c>
      <c r="M28" s="145">
        <f>重み!M15</f>
        <v>0.5</v>
      </c>
      <c r="N28" s="22"/>
      <c r="O28" s="29">
        <f>C28</f>
        <v>0</v>
      </c>
      <c r="P28" s="29" t="str">
        <f>D28</f>
        <v>1.2.1　風を取り込み、熱気を逃がす</v>
      </c>
      <c r="Q28" s="29">
        <f>E28</f>
        <v>0</v>
      </c>
      <c r="R28" s="29">
        <f>F28</f>
        <v>0</v>
      </c>
      <c r="S28" s="29" t="str">
        <f>L28</f>
        <v>重み係数＝</v>
      </c>
      <c r="T28" s="29">
        <f>M28</f>
        <v>0.5</v>
      </c>
    </row>
    <row r="29" spans="1:25" ht="16.5" customHeight="1" thickBot="1">
      <c r="A29" s="2"/>
      <c r="B29" s="137"/>
      <c r="C29" s="22"/>
      <c r="D29" s="865">
        <v>3</v>
      </c>
      <c r="E29" s="2934" t="s">
        <v>415</v>
      </c>
      <c r="F29" s="2935"/>
      <c r="G29" s="2935"/>
      <c r="H29" s="2935"/>
      <c r="I29" s="2935"/>
      <c r="J29" s="2935"/>
      <c r="K29" s="2935"/>
      <c r="L29" s="2935"/>
      <c r="M29" s="2936"/>
      <c r="N29" s="22"/>
      <c r="P29" s="29"/>
      <c r="R29" s="29"/>
      <c r="S29" s="29"/>
      <c r="T29" s="29"/>
    </row>
    <row r="30" spans="1:25" ht="16.5" customHeight="1">
      <c r="A30" s="2"/>
      <c r="B30" s="137"/>
      <c r="C30" s="22"/>
      <c r="D30" s="28" t="str">
        <f>IF(D29=$Q$14,$R$9,IF(ROUNDDOWN(D29,0)=$Q$9,$S$9,$R$9))</f>
        <v>　レベル　1</v>
      </c>
      <c r="E30" s="522" t="s">
        <v>822</v>
      </c>
      <c r="F30" s="638"/>
      <c r="G30" s="638"/>
      <c r="H30" s="638"/>
      <c r="I30" s="638"/>
      <c r="J30" s="638"/>
      <c r="K30" s="638"/>
      <c r="L30" s="638"/>
      <c r="M30" s="639"/>
      <c r="N30" s="22"/>
      <c r="P30" s="491">
        <f>$Q$9</f>
        <v>1</v>
      </c>
      <c r="S30" s="29"/>
      <c r="T30" s="29"/>
    </row>
    <row r="31" spans="1:25" ht="16.5" customHeight="1">
      <c r="A31" s="2"/>
      <c r="B31" s="137"/>
      <c r="C31" s="22"/>
      <c r="D31" s="28" t="str">
        <f>IF(D29=$Q$14,$R$10,IF(ROUNDDOWN(D29,0)=$Q$10,$S$10,$R$10))</f>
        <v>　レベル　2</v>
      </c>
      <c r="E31" s="146" t="s">
        <v>409</v>
      </c>
      <c r="F31" s="634"/>
      <c r="G31" s="634"/>
      <c r="H31" s="634"/>
      <c r="I31" s="634"/>
      <c r="J31" s="634"/>
      <c r="K31" s="634"/>
      <c r="L31" s="634"/>
      <c r="M31" s="635"/>
      <c r="N31" s="22"/>
      <c r="P31" s="491" t="s">
        <v>827</v>
      </c>
      <c r="S31" s="29"/>
      <c r="T31" s="29"/>
    </row>
    <row r="32" spans="1:25" ht="16.5" customHeight="1">
      <c r="A32" s="2"/>
      <c r="B32" s="137"/>
      <c r="C32" s="22"/>
      <c r="D32" s="28" t="str">
        <f>IF(D29=$Q$14,$R$11,IF(ROUNDDOWN(D29,0)=$Q$11,$S$11,$R$11))</f>
        <v>■レベル　3</v>
      </c>
      <c r="E32" s="146" t="s">
        <v>38</v>
      </c>
      <c r="F32" s="634"/>
      <c r="G32" s="634"/>
      <c r="H32" s="634"/>
      <c r="I32" s="634"/>
      <c r="J32" s="634"/>
      <c r="K32" s="634"/>
      <c r="L32" s="634"/>
      <c r="M32" s="635"/>
      <c r="N32" s="22"/>
      <c r="P32" s="491">
        <f>$Q$11</f>
        <v>3</v>
      </c>
      <c r="S32" s="29"/>
      <c r="T32" s="29"/>
    </row>
    <row r="33" spans="1:25" ht="16.5" customHeight="1">
      <c r="A33" s="2"/>
      <c r="B33" s="137"/>
      <c r="C33" s="22"/>
      <c r="D33" s="28" t="str">
        <f>IF(D29=$Q$14,$R$12,IF(ROUNDDOWN(D29,0)=$Q$12,$S$12,$R$12))</f>
        <v>　レベル　4</v>
      </c>
      <c r="E33" s="146" t="s">
        <v>409</v>
      </c>
      <c r="F33" s="634"/>
      <c r="G33" s="634"/>
      <c r="H33" s="634"/>
      <c r="I33" s="634"/>
      <c r="J33" s="634"/>
      <c r="K33" s="634"/>
      <c r="L33" s="634"/>
      <c r="M33" s="635"/>
      <c r="N33" s="22"/>
      <c r="P33" s="491" t="s">
        <v>827</v>
      </c>
      <c r="S33" s="29"/>
      <c r="T33" s="29"/>
    </row>
    <row r="34" spans="1:25" ht="16.5" customHeight="1">
      <c r="A34" s="2"/>
      <c r="B34" s="137"/>
      <c r="C34" s="22"/>
      <c r="D34" s="26" t="str">
        <f>IF(D29=$Q$14,$R$13,IF(ROUNDDOWN(D29,0)=$Q$13,$S$13,$R$13))</f>
        <v>　レベル　5</v>
      </c>
      <c r="E34" s="645" t="s">
        <v>825</v>
      </c>
      <c r="F34" s="636"/>
      <c r="G34" s="636"/>
      <c r="H34" s="636"/>
      <c r="I34" s="636"/>
      <c r="J34" s="636"/>
      <c r="K34" s="636"/>
      <c r="L34" s="636"/>
      <c r="M34" s="637"/>
      <c r="N34" s="22"/>
      <c r="P34" s="491">
        <f>$Q$13</f>
        <v>5</v>
      </c>
      <c r="S34" s="29"/>
      <c r="T34" s="29"/>
    </row>
    <row r="35" spans="1:25" s="29" customFormat="1" ht="8.25" customHeight="1">
      <c r="A35" s="19"/>
      <c r="B35" s="137"/>
      <c r="C35" s="504"/>
      <c r="D35" s="270"/>
      <c r="E35" s="270"/>
      <c r="F35" s="2"/>
      <c r="G35" s="2"/>
      <c r="H35" s="2"/>
      <c r="I35" s="2"/>
      <c r="J35" s="2"/>
      <c r="K35" s="2"/>
      <c r="L35" s="2"/>
      <c r="M35" s="2"/>
      <c r="N35" s="22"/>
      <c r="P35" s="491" t="s">
        <v>68</v>
      </c>
      <c r="Q35" s="284" t="s">
        <v>87</v>
      </c>
      <c r="R35" s="4"/>
      <c r="S35" s="4"/>
      <c r="T35" s="113"/>
    </row>
    <row r="36" spans="1:25" s="29" customFormat="1" ht="21" customHeight="1">
      <c r="A36" s="19"/>
      <c r="B36" s="137"/>
      <c r="C36" s="504"/>
      <c r="E36" s="646" t="s">
        <v>3</v>
      </c>
      <c r="F36" s="647"/>
      <c r="G36" s="2441"/>
      <c r="H36" s="2442"/>
      <c r="I36" s="990"/>
      <c r="J36" s="990"/>
      <c r="K36" s="990"/>
      <c r="L36" s="990"/>
      <c r="M36" s="991"/>
      <c r="N36" s="22"/>
      <c r="P36" s="511"/>
      <c r="Q36" s="284"/>
      <c r="R36" s="4"/>
      <c r="S36" s="4"/>
      <c r="T36" s="113"/>
      <c r="U36" s="511"/>
      <c r="V36" s="113"/>
      <c r="W36" s="113"/>
      <c r="X36" s="113"/>
      <c r="Y36" s="113"/>
    </row>
    <row r="37" spans="1:25" ht="9" customHeight="1">
      <c r="A37" s="2"/>
      <c r="B37" s="137"/>
      <c r="C37" s="504"/>
      <c r="D37" s="505"/>
      <c r="E37" s="21"/>
      <c r="F37" s="21"/>
      <c r="G37" s="21"/>
      <c r="H37" s="21"/>
      <c r="I37" s="21"/>
      <c r="J37" s="21"/>
      <c r="K37" s="21"/>
      <c r="L37" s="21"/>
      <c r="M37" s="21"/>
      <c r="N37" s="22"/>
      <c r="P37" s="511"/>
      <c r="S37" s="29"/>
      <c r="T37" s="29"/>
      <c r="U37" s="511"/>
    </row>
    <row r="38" spans="1:25" ht="16.5" customHeight="1" thickBot="1">
      <c r="A38" s="2"/>
      <c r="B38" s="137"/>
      <c r="C38" s="504"/>
      <c r="D38" s="513" t="s">
        <v>372</v>
      </c>
      <c r="E38" s="361"/>
      <c r="F38" s="125"/>
      <c r="I38" s="21"/>
      <c r="J38" s="21"/>
      <c r="K38" s="21"/>
      <c r="L38" s="148" t="s">
        <v>2</v>
      </c>
      <c r="M38" s="145">
        <f>重み!M16</f>
        <v>0.5</v>
      </c>
      <c r="N38" s="22"/>
      <c r="P38" s="29" t="str">
        <f>D38</f>
        <v>1.2.2　適切な冷房計画</v>
      </c>
      <c r="Q38" s="29">
        <f>E38</f>
        <v>0</v>
      </c>
      <c r="R38" s="29">
        <f>F38</f>
        <v>0</v>
      </c>
      <c r="S38" s="29" t="str">
        <f>L38</f>
        <v>重み係数＝</v>
      </c>
      <c r="T38" s="29">
        <f>M38</f>
        <v>0.5</v>
      </c>
      <c r="U38" s="511"/>
    </row>
    <row r="39" spans="1:25" ht="16.5" customHeight="1" thickBot="1">
      <c r="A39" s="2"/>
      <c r="B39" s="137"/>
      <c r="C39" s="504"/>
      <c r="D39" s="864">
        <v>5</v>
      </c>
      <c r="E39" s="2934" t="s">
        <v>415</v>
      </c>
      <c r="F39" s="2935"/>
      <c r="G39" s="2935"/>
      <c r="H39" s="2935"/>
      <c r="I39" s="2935"/>
      <c r="J39" s="2935"/>
      <c r="K39" s="2935"/>
      <c r="L39" s="2935"/>
      <c r="M39" s="2936"/>
      <c r="N39" s="22"/>
      <c r="P39" s="29"/>
      <c r="Q39" s="29"/>
      <c r="R39" s="29"/>
      <c r="S39" s="29"/>
      <c r="T39" s="29"/>
      <c r="U39" s="511"/>
    </row>
    <row r="40" spans="1:25" ht="16.5" customHeight="1">
      <c r="A40" s="2"/>
      <c r="B40" s="137"/>
      <c r="C40" s="504"/>
      <c r="D40" s="25" t="str">
        <f>IF(D39=$Q$14,$R$9,IF(ROUNDDOWN(D39,0)=$Q$9,$S$9,$R$9))</f>
        <v>　レベル　1</v>
      </c>
      <c r="E40" s="522" t="s">
        <v>43</v>
      </c>
      <c r="F40" s="638"/>
      <c r="G40" s="638"/>
      <c r="H40" s="638"/>
      <c r="I40" s="638"/>
      <c r="J40" s="638"/>
      <c r="K40" s="638"/>
      <c r="L40" s="638"/>
      <c r="M40" s="639"/>
      <c r="N40" s="22"/>
      <c r="P40" s="491">
        <f>$Q$9</f>
        <v>1</v>
      </c>
      <c r="Q40" s="4"/>
      <c r="S40" s="29"/>
      <c r="T40" s="29"/>
      <c r="U40" s="511"/>
    </row>
    <row r="41" spans="1:25" ht="16.5" customHeight="1">
      <c r="A41" s="2"/>
      <c r="B41" s="137"/>
      <c r="C41" s="504"/>
      <c r="D41" s="28" t="str">
        <f>IF(D39=$Q$14,$R$10,IF(ROUNDDOWN(D39,0)=$Q$10,$S$10,$R$10))</f>
        <v>　レベル　2</v>
      </c>
      <c r="E41" s="146" t="s">
        <v>409</v>
      </c>
      <c r="F41" s="634"/>
      <c r="G41" s="634"/>
      <c r="H41" s="634"/>
      <c r="I41" s="634"/>
      <c r="J41" s="634"/>
      <c r="K41" s="634"/>
      <c r="L41" s="634"/>
      <c r="M41" s="635"/>
      <c r="N41" s="22"/>
      <c r="P41" s="491" t="s">
        <v>827</v>
      </c>
      <c r="Q41" s="4"/>
      <c r="S41" s="29"/>
      <c r="T41" s="29"/>
      <c r="U41" s="511"/>
    </row>
    <row r="42" spans="1:25" ht="16.5" customHeight="1">
      <c r="A42" s="2"/>
      <c r="B42" s="137"/>
      <c r="C42" s="504"/>
      <c r="D42" s="28" t="str">
        <f>IF(D39=$Q$14,$R$11,IF(ROUNDDOWN(D39,0)=$Q$11,$S$11,$R$11))</f>
        <v>　レベル　3</v>
      </c>
      <c r="E42" s="146" t="s">
        <v>824</v>
      </c>
      <c r="F42" s="634"/>
      <c r="G42" s="634"/>
      <c r="H42" s="634"/>
      <c r="I42" s="634"/>
      <c r="J42" s="634"/>
      <c r="K42" s="634"/>
      <c r="L42" s="634"/>
      <c r="M42" s="635"/>
      <c r="N42" s="22"/>
      <c r="P42" s="491">
        <f>$Q$11</f>
        <v>3</v>
      </c>
      <c r="Q42" s="4"/>
      <c r="S42" s="29"/>
      <c r="T42" s="29"/>
      <c r="U42" s="511"/>
    </row>
    <row r="43" spans="1:25" ht="16.5" customHeight="1">
      <c r="A43" s="2"/>
      <c r="B43" s="137"/>
      <c r="C43" s="504"/>
      <c r="D43" s="28" t="str">
        <f>IF(D39=$Q$14,$R$12,IF(ROUNDDOWN(D39,0)=$Q$12,$S$12,$R$12))</f>
        <v>　レベル　4</v>
      </c>
      <c r="E43" s="146" t="s">
        <v>409</v>
      </c>
      <c r="F43" s="634"/>
      <c r="G43" s="634"/>
      <c r="H43" s="634"/>
      <c r="I43" s="634"/>
      <c r="J43" s="634"/>
      <c r="K43" s="634"/>
      <c r="L43" s="634"/>
      <c r="M43" s="635"/>
      <c r="N43" s="22"/>
      <c r="P43" s="491" t="s">
        <v>827</v>
      </c>
      <c r="Q43" s="4"/>
      <c r="S43" s="29"/>
      <c r="T43" s="29"/>
      <c r="U43" s="511"/>
    </row>
    <row r="44" spans="1:25" ht="16.5" customHeight="1">
      <c r="A44" s="2"/>
      <c r="B44" s="137"/>
      <c r="C44" s="504"/>
      <c r="D44" s="26" t="str">
        <f>IF(D39=$Q$14,$R$13,IF(ROUNDDOWN(D39,0)=$Q$13,$S$13,$R$13))</f>
        <v>■レベル　5</v>
      </c>
      <c r="E44" s="645" t="s">
        <v>42</v>
      </c>
      <c r="F44" s="636"/>
      <c r="G44" s="636"/>
      <c r="H44" s="636"/>
      <c r="I44" s="636"/>
      <c r="J44" s="636"/>
      <c r="K44" s="636"/>
      <c r="L44" s="636"/>
      <c r="M44" s="637"/>
      <c r="N44" s="22"/>
      <c r="P44" s="491">
        <f>$Q$13</f>
        <v>5</v>
      </c>
      <c r="Q44" s="4"/>
      <c r="S44" s="29"/>
      <c r="T44" s="29"/>
      <c r="U44" s="511"/>
    </row>
    <row r="45" spans="1:25" s="29" customFormat="1" ht="8.25" customHeight="1">
      <c r="A45" s="19"/>
      <c r="B45" s="137"/>
      <c r="C45" s="504"/>
      <c r="D45" s="270"/>
      <c r="E45" s="270"/>
      <c r="F45" s="2"/>
      <c r="G45" s="2"/>
      <c r="H45" s="2"/>
      <c r="I45" s="2"/>
      <c r="J45" s="2"/>
      <c r="K45" s="2"/>
      <c r="L45" s="2"/>
      <c r="M45" s="2"/>
      <c r="N45" s="22"/>
      <c r="P45" s="491" t="str">
        <f>Q45</f>
        <v>対象外</v>
      </c>
      <c r="Q45" s="284" t="s">
        <v>87</v>
      </c>
      <c r="R45" s="4"/>
      <c r="S45" s="4"/>
      <c r="T45" s="113"/>
    </row>
    <row r="46" spans="1:25" s="29" customFormat="1" ht="21" customHeight="1">
      <c r="A46" s="19"/>
      <c r="B46" s="137"/>
      <c r="C46" s="504"/>
      <c r="E46" s="646" t="s">
        <v>3</v>
      </c>
      <c r="F46" s="647"/>
      <c r="G46" s="2441"/>
      <c r="H46" s="2442"/>
      <c r="I46" s="990"/>
      <c r="J46" s="990"/>
      <c r="K46" s="990"/>
      <c r="L46" s="990"/>
      <c r="M46" s="991"/>
      <c r="N46" s="22"/>
      <c r="P46" s="511"/>
      <c r="Q46" s="284"/>
      <c r="R46" s="4"/>
      <c r="S46" s="4"/>
      <c r="T46" s="113"/>
      <c r="U46" s="511"/>
      <c r="V46" s="113"/>
      <c r="W46" s="113"/>
      <c r="X46" s="113"/>
      <c r="Y46" s="113"/>
    </row>
    <row r="47" spans="1:25" ht="10.5" customHeight="1">
      <c r="A47" s="2"/>
      <c r="B47" s="137"/>
      <c r="C47" s="504"/>
      <c r="D47" s="505"/>
      <c r="E47" s="21"/>
      <c r="F47" s="21"/>
      <c r="G47" s="21"/>
      <c r="H47" s="21"/>
      <c r="I47" s="21"/>
      <c r="J47" s="21"/>
      <c r="K47" s="21"/>
      <c r="L47" s="21"/>
      <c r="M47" s="21"/>
      <c r="N47" s="22"/>
      <c r="P47" s="511"/>
      <c r="S47" s="29"/>
      <c r="T47" s="29"/>
      <c r="U47" s="511"/>
    </row>
    <row r="48" spans="1:25" ht="15" customHeight="1">
      <c r="A48" s="2"/>
      <c r="B48" s="513">
        <v>1.3</v>
      </c>
      <c r="C48" s="24" t="s">
        <v>506</v>
      </c>
      <c r="D48" s="23"/>
      <c r="E48" s="271"/>
      <c r="F48" s="19"/>
      <c r="G48" s="19"/>
      <c r="H48" s="19"/>
      <c r="I48" s="19"/>
      <c r="J48" s="19"/>
      <c r="K48" s="19"/>
      <c r="L48" s="19"/>
      <c r="M48" s="19"/>
      <c r="N48" s="22"/>
    </row>
    <row r="49" spans="1:25" ht="16.5" customHeight="1" thickBot="1">
      <c r="A49" s="2"/>
      <c r="B49" s="268"/>
      <c r="C49" s="509"/>
      <c r="D49" s="513" t="s">
        <v>371</v>
      </c>
      <c r="E49" s="361"/>
      <c r="F49" s="125"/>
      <c r="I49" s="19"/>
      <c r="J49" s="19"/>
      <c r="K49" s="19"/>
      <c r="L49" s="148" t="s">
        <v>2</v>
      </c>
      <c r="M49" s="145">
        <f>重み!M18</f>
        <v>1</v>
      </c>
      <c r="N49" s="22"/>
      <c r="O49" s="29">
        <f t="shared" ref="O49:W49" si="0">C49</f>
        <v>0</v>
      </c>
      <c r="P49" s="29" t="str">
        <f t="shared" si="0"/>
        <v>1.3.1　適切な暖房計画</v>
      </c>
      <c r="Q49" s="29">
        <f t="shared" si="0"/>
        <v>0</v>
      </c>
      <c r="R49" s="29">
        <f t="shared" si="0"/>
        <v>0</v>
      </c>
      <c r="S49" s="29" t="str">
        <f>L49</f>
        <v>重み係数＝</v>
      </c>
      <c r="T49" s="29">
        <f>M49</f>
        <v>1</v>
      </c>
      <c r="U49" s="29">
        <f t="shared" si="0"/>
        <v>0</v>
      </c>
      <c r="V49" s="29">
        <f t="shared" si="0"/>
        <v>0</v>
      </c>
      <c r="W49" s="29">
        <f t="shared" si="0"/>
        <v>0</v>
      </c>
      <c r="X49" s="29" t="e">
        <f>#REF!</f>
        <v>#REF!</v>
      </c>
      <c r="Y49" s="29" t="e">
        <f>#REF!</f>
        <v>#REF!</v>
      </c>
    </row>
    <row r="50" spans="1:25" ht="16.5" customHeight="1" thickBot="1">
      <c r="A50" s="2"/>
      <c r="B50" s="137"/>
      <c r="C50" s="509"/>
      <c r="D50" s="865">
        <v>5</v>
      </c>
      <c r="E50" s="2934" t="s">
        <v>415</v>
      </c>
      <c r="F50" s="2935"/>
      <c r="G50" s="2935"/>
      <c r="H50" s="2935"/>
      <c r="I50" s="2935"/>
      <c r="J50" s="2935"/>
      <c r="K50" s="2935"/>
      <c r="L50" s="2935"/>
      <c r="M50" s="2936"/>
      <c r="N50" s="22"/>
      <c r="P50" s="29"/>
      <c r="R50" s="29"/>
      <c r="S50" s="29"/>
      <c r="T50" s="29"/>
      <c r="U50" s="29"/>
      <c r="V50" s="29"/>
      <c r="W50" s="29"/>
      <c r="X50" s="29"/>
      <c r="Y50" s="29"/>
    </row>
    <row r="51" spans="1:25" ht="16.5" customHeight="1">
      <c r="A51" s="2"/>
      <c r="B51" s="137"/>
      <c r="C51" s="510"/>
      <c r="D51" s="25" t="str">
        <f>IF(D50=$Q$14,$R$9,IF(ROUNDDOWN(D50,0)=$Q$9,$S$9,$R$9))</f>
        <v>　レベル　1</v>
      </c>
      <c r="E51" s="438" t="s">
        <v>43</v>
      </c>
      <c r="F51" s="487"/>
      <c r="G51" s="487"/>
      <c r="H51" s="487"/>
      <c r="I51" s="487"/>
      <c r="J51" s="487"/>
      <c r="K51" s="487"/>
      <c r="L51" s="487"/>
      <c r="M51" s="508"/>
      <c r="N51" s="22"/>
      <c r="P51" s="491">
        <f>$Q$9</f>
        <v>1</v>
      </c>
      <c r="S51" s="29"/>
      <c r="T51" s="29"/>
      <c r="U51" s="491">
        <f>$Q$9</f>
        <v>1</v>
      </c>
      <c r="X51" s="29"/>
      <c r="Y51" s="29"/>
    </row>
    <row r="52" spans="1:25" ht="16.5" customHeight="1">
      <c r="A52" s="2"/>
      <c r="B52" s="137"/>
      <c r="C52" s="510"/>
      <c r="D52" s="28" t="str">
        <f>IF(D50=$Q$14,$R$10,IF(ROUNDDOWN(D50,0)=$Q$10,$S$10,$R$10))</f>
        <v>　レベル　2</v>
      </c>
      <c r="E52" s="439" t="s">
        <v>409</v>
      </c>
      <c r="F52" s="489"/>
      <c r="G52" s="489"/>
      <c r="H52" s="489"/>
      <c r="I52" s="489"/>
      <c r="J52" s="489"/>
      <c r="K52" s="489"/>
      <c r="L52" s="489"/>
      <c r="M52" s="490"/>
      <c r="N52" s="22"/>
      <c r="P52" s="491" t="s">
        <v>828</v>
      </c>
      <c r="S52" s="29"/>
      <c r="T52" s="29"/>
      <c r="U52" s="491">
        <f>$Q$10</f>
        <v>2</v>
      </c>
      <c r="X52" s="29"/>
      <c r="Y52" s="29"/>
    </row>
    <row r="53" spans="1:25" ht="16.5" customHeight="1">
      <c r="A53" s="2"/>
      <c r="B53" s="137"/>
      <c r="C53" s="510"/>
      <c r="D53" s="28" t="str">
        <f>IF(D50=$Q$14,$R$11,IF(ROUNDDOWN(D50,0)=$Q$11,$S$11,$R$11))</f>
        <v>　レベル　3</v>
      </c>
      <c r="E53" s="439" t="s">
        <v>826</v>
      </c>
      <c r="F53" s="489"/>
      <c r="G53" s="489"/>
      <c r="H53" s="489"/>
      <c r="I53" s="489"/>
      <c r="J53" s="489"/>
      <c r="K53" s="489"/>
      <c r="L53" s="489"/>
      <c r="M53" s="490"/>
      <c r="N53" s="22"/>
      <c r="P53" s="491">
        <f>$Q$11</f>
        <v>3</v>
      </c>
      <c r="S53" s="29"/>
      <c r="T53" s="29"/>
      <c r="U53" s="491">
        <f>$Q$11</f>
        <v>3</v>
      </c>
      <c r="X53" s="29"/>
      <c r="Y53" s="29"/>
    </row>
    <row r="54" spans="1:25" ht="16.5" customHeight="1">
      <c r="A54" s="2"/>
      <c r="B54" s="137"/>
      <c r="C54" s="510"/>
      <c r="D54" s="28" t="str">
        <f>IF(D50=$Q$14,$R$12,IF(ROUNDDOWN(D50,0)=$Q$12,$S$12,$R$12))</f>
        <v>　レベル　4</v>
      </c>
      <c r="E54" s="451" t="s">
        <v>409</v>
      </c>
      <c r="F54" s="2630"/>
      <c r="G54" s="2630"/>
      <c r="H54" s="2630"/>
      <c r="I54" s="2630"/>
      <c r="J54" s="2630"/>
      <c r="K54" s="2630"/>
      <c r="L54" s="2630"/>
      <c r="M54" s="2631"/>
      <c r="N54" s="22"/>
      <c r="P54" s="491" t="s">
        <v>829</v>
      </c>
      <c r="S54" s="29"/>
      <c r="T54" s="29"/>
      <c r="U54" s="491">
        <f>$Q$12</f>
        <v>4</v>
      </c>
      <c r="X54" s="29"/>
      <c r="Y54" s="29"/>
    </row>
    <row r="55" spans="1:25" ht="16.5" customHeight="1">
      <c r="A55" s="2"/>
      <c r="B55" s="137"/>
      <c r="C55" s="510"/>
      <c r="D55" s="26" t="str">
        <f>IF(D50=$Q$14,$R$13,IF(ROUNDDOWN(D50,0)=$Q$13,$S$13,$R$13))</f>
        <v>■レベル　5</v>
      </c>
      <c r="E55" s="473" t="s">
        <v>852</v>
      </c>
      <c r="F55" s="2632"/>
      <c r="G55" s="2632"/>
      <c r="H55" s="2632"/>
      <c r="I55" s="2632"/>
      <c r="J55" s="2632"/>
      <c r="K55" s="2632"/>
      <c r="L55" s="2632"/>
      <c r="M55" s="2633"/>
      <c r="N55" s="22"/>
      <c r="P55" s="491">
        <f>$Q$13</f>
        <v>5</v>
      </c>
      <c r="S55" s="29"/>
      <c r="T55" s="29"/>
      <c r="U55" s="491">
        <f>$Q$13</f>
        <v>5</v>
      </c>
      <c r="X55" s="29"/>
      <c r="Y55" s="29"/>
    </row>
    <row r="56" spans="1:25" s="29" customFormat="1" ht="8.25" customHeight="1">
      <c r="A56" s="19"/>
      <c r="B56" s="137"/>
      <c r="C56" s="504"/>
      <c r="D56" s="270"/>
      <c r="E56" s="270"/>
      <c r="F56" s="2"/>
      <c r="G56" s="2"/>
      <c r="H56" s="2"/>
      <c r="I56" s="2"/>
      <c r="J56" s="2"/>
      <c r="K56" s="2"/>
      <c r="L56" s="2"/>
      <c r="M56" s="2"/>
      <c r="N56" s="22"/>
      <c r="P56" s="491" t="str">
        <f>Q56</f>
        <v>対象外</v>
      </c>
      <c r="Q56" s="284" t="s">
        <v>87</v>
      </c>
      <c r="R56" s="4"/>
      <c r="S56" s="4"/>
      <c r="T56" s="113"/>
    </row>
    <row r="57" spans="1:25" s="29" customFormat="1" ht="21" customHeight="1">
      <c r="A57" s="19"/>
      <c r="B57" s="137"/>
      <c r="C57" s="504"/>
      <c r="E57" s="646" t="s">
        <v>3</v>
      </c>
      <c r="F57" s="647"/>
      <c r="G57" s="2441"/>
      <c r="H57" s="2442"/>
      <c r="I57" s="990"/>
      <c r="J57" s="990"/>
      <c r="K57" s="990"/>
      <c r="L57" s="990"/>
      <c r="M57" s="991"/>
      <c r="N57" s="22"/>
      <c r="P57" s="511"/>
      <c r="Q57" s="284"/>
      <c r="R57" s="4"/>
      <c r="S57" s="4"/>
      <c r="T57" s="113"/>
      <c r="U57" s="511"/>
      <c r="V57" s="113"/>
      <c r="W57" s="113"/>
      <c r="X57" s="113"/>
      <c r="Y57" s="113"/>
    </row>
    <row r="58" spans="1:25" ht="9" customHeight="1">
      <c r="A58" s="2"/>
      <c r="B58" s="137"/>
      <c r="C58" s="22"/>
      <c r="D58" s="129"/>
      <c r="E58" s="19"/>
      <c r="F58" s="19"/>
      <c r="G58" s="19"/>
      <c r="H58" s="19"/>
      <c r="I58" s="19"/>
      <c r="J58" s="19"/>
      <c r="K58" s="19"/>
      <c r="L58" s="19"/>
      <c r="M58" s="19"/>
      <c r="N58" s="22"/>
      <c r="P58" s="511"/>
      <c r="S58" s="29"/>
      <c r="T58" s="29"/>
      <c r="U58" s="511"/>
      <c r="X58" s="29"/>
    </row>
    <row r="59" spans="1:25" s="15" customFormat="1" ht="14.25" customHeight="1">
      <c r="A59" s="13"/>
      <c r="B59" s="513">
        <v>2</v>
      </c>
      <c r="C59" s="24" t="s">
        <v>508</v>
      </c>
      <c r="D59" s="23"/>
      <c r="E59" s="22"/>
      <c r="F59" s="22"/>
      <c r="G59" s="22"/>
      <c r="H59" s="22"/>
      <c r="I59" s="500"/>
      <c r="J59" s="500"/>
      <c r="K59" s="500"/>
      <c r="L59" s="500"/>
      <c r="M59" s="500"/>
      <c r="N59" s="22"/>
      <c r="O59" s="122"/>
      <c r="P59" s="122"/>
      <c r="Q59" s="122"/>
    </row>
    <row r="60" spans="1:25" s="15" customFormat="1" ht="14.25" customHeight="1">
      <c r="A60" s="13"/>
      <c r="B60" s="513">
        <v>2.1</v>
      </c>
      <c r="C60" s="285" t="s">
        <v>509</v>
      </c>
      <c r="D60" s="4"/>
      <c r="E60" s="22"/>
      <c r="F60" s="22"/>
      <c r="G60" s="22"/>
      <c r="H60" s="22"/>
      <c r="I60" s="500"/>
      <c r="J60" s="500"/>
      <c r="K60" s="500"/>
      <c r="L60" s="500"/>
      <c r="M60" s="500"/>
      <c r="N60" s="22"/>
      <c r="O60" s="122"/>
      <c r="P60" s="122"/>
      <c r="Q60" s="122"/>
    </row>
    <row r="61" spans="1:25" ht="16.5" customHeight="1" thickBot="1">
      <c r="A61" s="2"/>
      <c r="B61" s="4"/>
      <c r="C61" s="4"/>
      <c r="D61" s="4"/>
      <c r="E61" s="271"/>
      <c r="F61" s="125"/>
      <c r="I61" s="500"/>
      <c r="J61" s="500"/>
      <c r="K61" s="500"/>
      <c r="L61" s="148" t="s">
        <v>2</v>
      </c>
      <c r="M61" s="145">
        <f>重み!M21</f>
        <v>0.25</v>
      </c>
      <c r="N61" s="22"/>
      <c r="O61" s="29" t="str">
        <f>C60</f>
        <v>化学汚染物質の対策</v>
      </c>
      <c r="P61" s="29">
        <f>D60</f>
        <v>0</v>
      </c>
      <c r="Q61" s="29">
        <f t="shared" ref="Q61:Y61" si="1">E61</f>
        <v>0</v>
      </c>
      <c r="R61" s="29">
        <f t="shared" si="1"/>
        <v>0</v>
      </c>
      <c r="S61" s="29">
        <f t="shared" si="1"/>
        <v>0</v>
      </c>
      <c r="T61" s="29">
        <f t="shared" si="1"/>
        <v>0</v>
      </c>
      <c r="U61" s="29">
        <f t="shared" si="1"/>
        <v>0</v>
      </c>
      <c r="V61" s="29">
        <f t="shared" si="1"/>
        <v>0</v>
      </c>
      <c r="W61" s="29">
        <f t="shared" si="1"/>
        <v>0</v>
      </c>
      <c r="X61" s="29" t="str">
        <f t="shared" si="1"/>
        <v>重み係数＝</v>
      </c>
      <c r="Y61" s="29">
        <f t="shared" si="1"/>
        <v>0.25</v>
      </c>
    </row>
    <row r="62" spans="1:25" ht="16.5" customHeight="1" thickBot="1">
      <c r="A62" s="2"/>
      <c r="B62" s="137"/>
      <c r="C62" s="22"/>
      <c r="D62" s="864">
        <v>3</v>
      </c>
      <c r="E62" s="2934" t="s">
        <v>415</v>
      </c>
      <c r="F62" s="2935"/>
      <c r="G62" s="2935"/>
      <c r="H62" s="2935"/>
      <c r="I62" s="2935"/>
      <c r="J62" s="2935"/>
      <c r="K62" s="2935"/>
      <c r="L62" s="2935"/>
      <c r="M62" s="2936"/>
      <c r="N62" s="22"/>
      <c r="P62" s="29"/>
      <c r="R62" s="29"/>
      <c r="S62" s="29"/>
      <c r="T62" s="29"/>
      <c r="U62" s="29"/>
      <c r="V62" s="29"/>
      <c r="W62" s="29"/>
      <c r="X62" s="29"/>
      <c r="Y62" s="29"/>
    </row>
    <row r="63" spans="1:25" ht="16.5" customHeight="1">
      <c r="A63" s="2"/>
      <c r="B63" s="137"/>
      <c r="C63" s="22"/>
      <c r="D63" s="25" t="str">
        <f>IF(D62=$Q$14,$R$9,IF(ROUNDDOWN(D62,0)=$Q$9,$S$9,$R$9))</f>
        <v>　レベル　1</v>
      </c>
      <c r="E63" s="438" t="s">
        <v>409</v>
      </c>
      <c r="F63" s="487"/>
      <c r="G63" s="487"/>
      <c r="H63" s="487"/>
      <c r="I63" s="487"/>
      <c r="J63" s="487"/>
      <c r="K63" s="487"/>
      <c r="L63" s="487"/>
      <c r="M63" s="488"/>
      <c r="N63" s="22"/>
      <c r="P63" s="491" t="s">
        <v>830</v>
      </c>
      <c r="Q63" s="29"/>
      <c r="R63" s="29"/>
      <c r="S63" s="29"/>
      <c r="T63" s="29"/>
      <c r="U63" s="491">
        <f>$Q$9</f>
        <v>1</v>
      </c>
      <c r="V63" s="29"/>
      <c r="W63" s="29"/>
      <c r="X63" s="29"/>
      <c r="Y63" s="29"/>
    </row>
    <row r="64" spans="1:25" ht="16.5" customHeight="1">
      <c r="A64" s="2"/>
      <c r="B64" s="137"/>
      <c r="C64" s="22"/>
      <c r="D64" s="28" t="str">
        <f>IF(D62=$Q$14,$R$10,IF(ROUNDDOWN(D62,0)=$Q$10,$S$10,$R$10))</f>
        <v>　レベル　2</v>
      </c>
      <c r="E64" s="439" t="s">
        <v>409</v>
      </c>
      <c r="F64" s="489"/>
      <c r="G64" s="489"/>
      <c r="H64" s="489"/>
      <c r="I64" s="489"/>
      <c r="J64" s="489"/>
      <c r="K64" s="489"/>
      <c r="L64" s="489"/>
      <c r="M64" s="490"/>
      <c r="N64" s="22"/>
      <c r="P64" s="491" t="s">
        <v>828</v>
      </c>
      <c r="Q64" s="29"/>
      <c r="R64" s="29"/>
      <c r="S64" s="29"/>
      <c r="T64" s="29"/>
      <c r="U64" s="491">
        <f>$Q$10</f>
        <v>2</v>
      </c>
      <c r="V64" s="29"/>
      <c r="W64" s="29"/>
      <c r="X64" s="29"/>
      <c r="Y64" s="29"/>
    </row>
    <row r="65" spans="1:25" ht="16.5" customHeight="1">
      <c r="A65" s="2"/>
      <c r="B65" s="137"/>
      <c r="C65" s="22"/>
      <c r="D65" s="28" t="str">
        <f>IF(D62=$Q$14,$R$11,IF(ROUNDDOWN(D62,0)=$Q$11,$S$11,$R$11))</f>
        <v>■レベル　3</v>
      </c>
      <c r="E65" s="439" t="s">
        <v>197</v>
      </c>
      <c r="F65" s="489"/>
      <c r="G65" s="489"/>
      <c r="H65" s="489"/>
      <c r="I65" s="489"/>
      <c r="J65" s="489"/>
      <c r="K65" s="489"/>
      <c r="L65" s="489"/>
      <c r="M65" s="490"/>
      <c r="N65" s="22"/>
      <c r="P65" s="491">
        <f>$Q$11</f>
        <v>3</v>
      </c>
      <c r="Q65" s="29"/>
      <c r="R65" s="29"/>
      <c r="S65" s="29"/>
      <c r="T65" s="29"/>
      <c r="U65" s="491">
        <f>$Q$11</f>
        <v>3</v>
      </c>
      <c r="V65" s="29"/>
      <c r="W65" s="29"/>
      <c r="X65" s="29"/>
      <c r="Y65" s="29"/>
    </row>
    <row r="66" spans="1:25" ht="16.5" customHeight="1">
      <c r="A66" s="2"/>
      <c r="B66" s="137"/>
      <c r="C66" s="22"/>
      <c r="D66" s="28" t="str">
        <f>IF(D62=$Q$14,$R$12,IF(ROUNDDOWN(D62,0)=$Q$12,$S$12,$R$12))</f>
        <v>　レベル　4</v>
      </c>
      <c r="E66" s="451" t="s">
        <v>198</v>
      </c>
      <c r="F66" s="2630"/>
      <c r="G66" s="2630"/>
      <c r="H66" s="2630"/>
      <c r="I66" s="2630"/>
      <c r="J66" s="2630"/>
      <c r="K66" s="2630"/>
      <c r="L66" s="2630"/>
      <c r="M66" s="2631"/>
      <c r="N66" s="22"/>
      <c r="P66" s="491">
        <f>$Q$12</f>
        <v>4</v>
      </c>
      <c r="Q66" s="29"/>
      <c r="R66" s="29"/>
      <c r="S66" s="29"/>
      <c r="T66" s="29"/>
      <c r="U66" s="491">
        <f>$Q$12</f>
        <v>4</v>
      </c>
      <c r="V66" s="29"/>
      <c r="W66" s="29"/>
      <c r="X66" s="29"/>
      <c r="Y66" s="29"/>
    </row>
    <row r="67" spans="1:25" ht="16.5" customHeight="1">
      <c r="A67" s="2"/>
      <c r="B67" s="137"/>
      <c r="C67" s="22"/>
      <c r="D67" s="26" t="str">
        <f>IF(D62=$Q$14,$R$13,IF(ROUNDDOWN(D62,0)=$Q$13,$S$13,$R$13))</f>
        <v>　レベル　5</v>
      </c>
      <c r="E67" s="473" t="s">
        <v>199</v>
      </c>
      <c r="F67" s="2632"/>
      <c r="G67" s="2632"/>
      <c r="H67" s="2632"/>
      <c r="I67" s="2632"/>
      <c r="J67" s="2632"/>
      <c r="K67" s="2632"/>
      <c r="L67" s="2632"/>
      <c r="M67" s="2633"/>
      <c r="N67" s="22"/>
      <c r="P67" s="491">
        <f>$Q$13</f>
        <v>5</v>
      </c>
      <c r="Q67" s="29"/>
      <c r="R67" s="29"/>
      <c r="S67" s="29"/>
      <c r="T67" s="29"/>
      <c r="U67" s="491">
        <f>$Q$13</f>
        <v>5</v>
      </c>
      <c r="V67" s="29"/>
      <c r="W67" s="29"/>
      <c r="X67" s="29"/>
      <c r="Y67" s="29"/>
    </row>
    <row r="68" spans="1:25" s="29" customFormat="1" ht="8.25" customHeight="1">
      <c r="A68" s="19"/>
      <c r="B68" s="137"/>
      <c r="C68" s="504"/>
      <c r="D68" s="270"/>
      <c r="E68" s="270"/>
      <c r="F68" s="2"/>
      <c r="G68" s="2"/>
      <c r="H68" s="2"/>
      <c r="I68" s="2"/>
      <c r="J68" s="2"/>
      <c r="K68" s="2"/>
      <c r="L68" s="2"/>
      <c r="M68" s="2"/>
      <c r="N68" s="22"/>
      <c r="P68" s="491" t="s">
        <v>68</v>
      </c>
      <c r="Q68" s="284" t="s">
        <v>87</v>
      </c>
      <c r="R68" s="4"/>
      <c r="S68" s="4"/>
      <c r="T68" s="113"/>
    </row>
    <row r="69" spans="1:25" s="29" customFormat="1" ht="21" customHeight="1">
      <c r="A69" s="19"/>
      <c r="B69" s="137"/>
      <c r="C69" s="504"/>
      <c r="E69" s="646" t="s">
        <v>3</v>
      </c>
      <c r="F69" s="647"/>
      <c r="G69" s="2441"/>
      <c r="H69" s="2442"/>
      <c r="I69" s="990"/>
      <c r="J69" s="990"/>
      <c r="K69" s="990"/>
      <c r="L69" s="990"/>
      <c r="M69" s="991"/>
      <c r="N69" s="22"/>
      <c r="P69" s="511"/>
      <c r="Q69" s="284"/>
      <c r="R69" s="4"/>
      <c r="S69" s="4"/>
      <c r="T69" s="113"/>
      <c r="U69" s="511"/>
      <c r="V69" s="113"/>
      <c r="W69" s="113"/>
      <c r="X69" s="113"/>
      <c r="Y69" s="113"/>
    </row>
    <row r="70" spans="1:25" ht="6.75" customHeight="1">
      <c r="A70" s="2"/>
      <c r="B70" s="137"/>
      <c r="C70" s="13"/>
      <c r="D70" s="129"/>
      <c r="E70" s="266"/>
      <c r="F70" s="19"/>
      <c r="G70" s="19"/>
      <c r="H70" s="19"/>
      <c r="I70" s="500"/>
      <c r="J70" s="500"/>
      <c r="K70" s="500"/>
      <c r="L70" s="500"/>
      <c r="M70" s="500"/>
      <c r="N70" s="22"/>
      <c r="P70" s="511"/>
      <c r="Q70" s="29"/>
      <c r="R70" s="29"/>
      <c r="S70" s="29"/>
      <c r="T70" s="29"/>
      <c r="U70" s="511"/>
      <c r="V70" s="29"/>
      <c r="W70" s="29"/>
    </row>
    <row r="71" spans="1:25">
      <c r="A71" s="2"/>
      <c r="B71" s="513">
        <v>2.2000000000000002</v>
      </c>
      <c r="C71" s="285" t="s">
        <v>100</v>
      </c>
      <c r="D71" s="15"/>
      <c r="E71" s="266"/>
      <c r="F71" s="19"/>
      <c r="G71" s="19"/>
      <c r="H71" s="19"/>
      <c r="I71" s="500"/>
      <c r="J71" s="500"/>
      <c r="K71" s="500"/>
      <c r="L71" s="500"/>
      <c r="M71" s="500"/>
      <c r="N71" s="22"/>
      <c r="P71" s="511"/>
      <c r="Q71" s="29"/>
      <c r="R71" s="29"/>
      <c r="S71" s="29"/>
      <c r="T71" s="29"/>
      <c r="U71" s="511"/>
      <c r="V71" s="29"/>
      <c r="W71" s="29"/>
    </row>
    <row r="72" spans="1:25" s="15" customFormat="1" ht="16.5" customHeight="1" thickBot="1">
      <c r="A72" s="13"/>
      <c r="E72" s="361"/>
      <c r="F72" s="125"/>
      <c r="I72" s="500"/>
      <c r="J72" s="500"/>
      <c r="K72" s="500"/>
      <c r="L72" s="148" t="s">
        <v>2</v>
      </c>
      <c r="M72" s="145">
        <f>重み!M22</f>
        <v>0.25</v>
      </c>
      <c r="N72" s="22"/>
      <c r="O72" s="29" t="str">
        <f>C71</f>
        <v>適切な換気計画</v>
      </c>
      <c r="P72" s="29">
        <f>D71</f>
        <v>0</v>
      </c>
      <c r="Q72" s="29">
        <f t="shared" ref="Q72:Y72" si="2">E72</f>
        <v>0</v>
      </c>
      <c r="R72" s="29">
        <f t="shared" si="2"/>
        <v>0</v>
      </c>
      <c r="S72" s="29">
        <f t="shared" si="2"/>
        <v>0</v>
      </c>
      <c r="T72" s="29">
        <f t="shared" si="2"/>
        <v>0</v>
      </c>
      <c r="U72" s="29">
        <f t="shared" si="2"/>
        <v>0</v>
      </c>
      <c r="V72" s="29">
        <f t="shared" si="2"/>
        <v>0</v>
      </c>
      <c r="W72" s="29">
        <f t="shared" si="2"/>
        <v>0</v>
      </c>
      <c r="X72" s="29" t="str">
        <f t="shared" si="2"/>
        <v>重み係数＝</v>
      </c>
      <c r="Y72" s="29">
        <f t="shared" si="2"/>
        <v>0.25</v>
      </c>
    </row>
    <row r="73" spans="1:25" ht="16.5" customHeight="1" thickBot="1">
      <c r="A73" s="2"/>
      <c r="B73" s="2"/>
      <c r="C73" s="13"/>
      <c r="D73" s="864">
        <v>5</v>
      </c>
      <c r="E73" s="2934" t="s">
        <v>415</v>
      </c>
      <c r="F73" s="2935"/>
      <c r="G73" s="2935"/>
      <c r="H73" s="2935"/>
      <c r="I73" s="2935"/>
      <c r="J73" s="2935"/>
      <c r="K73" s="2935"/>
      <c r="L73" s="2935"/>
      <c r="M73" s="2936"/>
      <c r="N73" s="22"/>
      <c r="P73" s="29"/>
      <c r="R73" s="29"/>
      <c r="S73" s="29"/>
      <c r="T73" s="29"/>
      <c r="U73" s="29"/>
      <c r="V73" s="29"/>
      <c r="W73" s="29"/>
      <c r="X73" s="29"/>
      <c r="Y73" s="29"/>
    </row>
    <row r="74" spans="1:25" ht="16.5" customHeight="1">
      <c r="A74" s="2"/>
      <c r="B74" s="2"/>
      <c r="C74" s="13"/>
      <c r="D74" s="25" t="str">
        <f>IF(D73=$Q$14,$R$9,IF(ROUNDDOWN(D73,0)=$Q$9,$S$9,$R$9))</f>
        <v>　レベル　1</v>
      </c>
      <c r="E74" s="438" t="s">
        <v>409</v>
      </c>
      <c r="F74" s="487"/>
      <c r="G74" s="487"/>
      <c r="H74" s="487"/>
      <c r="I74" s="487"/>
      <c r="J74" s="487"/>
      <c r="K74" s="487"/>
      <c r="L74" s="487"/>
      <c r="M74" s="488"/>
      <c r="N74" s="22"/>
      <c r="P74" s="491" t="s">
        <v>828</v>
      </c>
      <c r="Q74" s="29"/>
      <c r="R74" s="29"/>
      <c r="S74" s="29"/>
      <c r="T74" s="29"/>
      <c r="U74" s="491">
        <f>$Q$9</f>
        <v>1</v>
      </c>
      <c r="V74" s="29"/>
      <c r="W74" s="29"/>
      <c r="X74" s="29"/>
      <c r="Y74" s="29"/>
    </row>
    <row r="75" spans="1:25" ht="16.5" customHeight="1">
      <c r="A75" s="2"/>
      <c r="B75" s="2"/>
      <c r="C75" s="13"/>
      <c r="D75" s="28" t="str">
        <f>IF(D73=$Q$14,$R$10,IF(ROUNDDOWN(D73,0)=$Q$10,$S$10,$R$10))</f>
        <v>　レベル　2</v>
      </c>
      <c r="E75" s="439" t="s">
        <v>37</v>
      </c>
      <c r="F75" s="489"/>
      <c r="G75" s="489"/>
      <c r="H75" s="489"/>
      <c r="I75" s="489"/>
      <c r="J75" s="489"/>
      <c r="K75" s="489"/>
      <c r="L75" s="489"/>
      <c r="M75" s="490"/>
      <c r="N75" s="22"/>
      <c r="P75" s="491">
        <f>$Q$10</f>
        <v>2</v>
      </c>
      <c r="Q75" s="29"/>
      <c r="R75" s="29"/>
      <c r="S75" s="29"/>
      <c r="T75" s="29"/>
      <c r="U75" s="491">
        <f>$Q$10</f>
        <v>2</v>
      </c>
      <c r="V75" s="29"/>
      <c r="W75" s="29"/>
      <c r="X75" s="29"/>
      <c r="Y75" s="29"/>
    </row>
    <row r="76" spans="1:25" ht="16.5" customHeight="1">
      <c r="A76" s="2"/>
      <c r="B76" s="2"/>
      <c r="C76" s="13"/>
      <c r="D76" s="28" t="str">
        <f>IF(D73=$Q$14,$R$11,IF(ROUNDDOWN(D73,0)=$Q$11,$S$11,$R$11))</f>
        <v>　レベル　3</v>
      </c>
      <c r="E76" s="439" t="s">
        <v>201</v>
      </c>
      <c r="F76" s="489"/>
      <c r="G76" s="489"/>
      <c r="H76" s="489"/>
      <c r="I76" s="489"/>
      <c r="J76" s="489"/>
      <c r="K76" s="489"/>
      <c r="L76" s="489"/>
      <c r="M76" s="490"/>
      <c r="N76" s="22"/>
      <c r="P76" s="491">
        <f>$Q$11</f>
        <v>3</v>
      </c>
      <c r="Q76" s="29"/>
      <c r="R76" s="29"/>
      <c r="S76" s="29"/>
      <c r="T76" s="29"/>
      <c r="U76" s="491">
        <f>$Q$11</f>
        <v>3</v>
      </c>
      <c r="V76" s="29"/>
      <c r="W76" s="29"/>
      <c r="X76" s="29"/>
      <c r="Y76" s="29"/>
    </row>
    <row r="77" spans="1:25" ht="16.5" customHeight="1">
      <c r="A77" s="2"/>
      <c r="B77" s="2"/>
      <c r="C77" s="13"/>
      <c r="D77" s="28" t="str">
        <f>IF(D73=$Q$14,$R$12,IF(ROUNDDOWN(D73,0)=$Q$12,$S$12,$R$12))</f>
        <v>　レベル　4</v>
      </c>
      <c r="E77" s="451" t="s">
        <v>409</v>
      </c>
      <c r="F77" s="2630"/>
      <c r="G77" s="2630"/>
      <c r="H77" s="2630"/>
      <c r="I77" s="2630"/>
      <c r="J77" s="2630"/>
      <c r="K77" s="2630"/>
      <c r="L77" s="2630"/>
      <c r="M77" s="2631"/>
      <c r="N77" s="22"/>
      <c r="P77" s="491" t="s">
        <v>831</v>
      </c>
      <c r="Q77" s="29"/>
      <c r="R77" s="29"/>
      <c r="S77" s="29"/>
      <c r="T77" s="29"/>
      <c r="U77" s="491">
        <f>$Q$12</f>
        <v>4</v>
      </c>
      <c r="V77" s="29"/>
      <c r="W77" s="29"/>
      <c r="X77" s="29"/>
      <c r="Y77" s="29"/>
    </row>
    <row r="78" spans="1:25" ht="16.5" customHeight="1">
      <c r="A78" s="2"/>
      <c r="B78" s="2"/>
      <c r="C78" s="13"/>
      <c r="D78" s="26" t="str">
        <f>IF(D73=$Q$14,$R$13,IF(ROUNDDOWN(D73,0)=$Q$13,$S$13,$R$13))</f>
        <v>■レベル　5</v>
      </c>
      <c r="E78" s="473" t="s">
        <v>326</v>
      </c>
      <c r="F78" s="2632"/>
      <c r="G78" s="2632"/>
      <c r="H78" s="2632"/>
      <c r="I78" s="2632"/>
      <c r="J78" s="2632"/>
      <c r="K78" s="2632"/>
      <c r="L78" s="2632"/>
      <c r="M78" s="2633"/>
      <c r="N78" s="22"/>
      <c r="P78" s="491">
        <f>$Q$13</f>
        <v>5</v>
      </c>
      <c r="Q78" s="29"/>
      <c r="R78" s="29"/>
      <c r="S78" s="29"/>
      <c r="T78" s="29"/>
      <c r="U78" s="491">
        <f>$Q$13</f>
        <v>5</v>
      </c>
      <c r="V78" s="29"/>
      <c r="W78" s="29"/>
      <c r="X78" s="29"/>
      <c r="Y78" s="29"/>
    </row>
    <row r="79" spans="1:25" s="29" customFormat="1" ht="8.25" customHeight="1">
      <c r="A79" s="19"/>
      <c r="B79" s="137"/>
      <c r="C79" s="504"/>
      <c r="D79" s="270"/>
      <c r="E79" s="270"/>
      <c r="F79" s="2"/>
      <c r="G79" s="2"/>
      <c r="H79" s="2"/>
      <c r="I79" s="2"/>
      <c r="J79" s="2"/>
      <c r="K79" s="2"/>
      <c r="L79" s="2"/>
      <c r="M79" s="2"/>
      <c r="N79" s="22"/>
      <c r="P79" s="491" t="s">
        <v>68</v>
      </c>
      <c r="Q79" s="284" t="s">
        <v>87</v>
      </c>
      <c r="R79" s="4"/>
      <c r="S79" s="4"/>
      <c r="T79" s="113"/>
    </row>
    <row r="80" spans="1:25" s="29" customFormat="1" ht="21" customHeight="1">
      <c r="A80" s="19"/>
      <c r="B80" s="137"/>
      <c r="C80" s="504"/>
      <c r="E80" s="646" t="s">
        <v>3</v>
      </c>
      <c r="F80" s="647"/>
      <c r="G80" s="2441"/>
      <c r="H80" s="2442"/>
      <c r="I80" s="990"/>
      <c r="J80" s="990"/>
      <c r="K80" s="990"/>
      <c r="L80" s="990"/>
      <c r="M80" s="991"/>
      <c r="N80" s="22"/>
      <c r="P80" s="511"/>
      <c r="Q80" s="284"/>
      <c r="R80" s="4"/>
      <c r="S80" s="4"/>
      <c r="T80" s="113"/>
      <c r="U80" s="511"/>
      <c r="V80" s="113"/>
      <c r="W80" s="113"/>
      <c r="X80" s="113"/>
      <c r="Y80" s="113"/>
    </row>
    <row r="81" spans="1:26" ht="7.5" customHeight="1">
      <c r="A81" s="2"/>
      <c r="B81" s="137"/>
      <c r="C81" s="137"/>
      <c r="D81" s="24"/>
      <c r="E81" s="24"/>
      <c r="F81" s="24"/>
      <c r="G81" s="24"/>
      <c r="H81" s="24"/>
      <c r="I81" s="500"/>
      <c r="J81" s="500"/>
      <c r="K81" s="500"/>
      <c r="L81" s="500"/>
      <c r="M81" s="500"/>
      <c r="N81" s="22"/>
      <c r="P81" s="511"/>
      <c r="Q81" s="29"/>
      <c r="R81" s="29"/>
      <c r="S81" s="29"/>
      <c r="T81" s="29"/>
      <c r="U81" s="511"/>
      <c r="V81" s="29"/>
      <c r="W81" s="29"/>
    </row>
    <row r="82" spans="1:26" s="2109" customFormat="1" ht="18.75" customHeight="1">
      <c r="A82" s="2108"/>
      <c r="B82" s="513">
        <v>2.2999999999999998</v>
      </c>
      <c r="C82" s="285" t="s">
        <v>1647</v>
      </c>
      <c r="D82" s="4"/>
      <c r="E82" s="24"/>
      <c r="F82" s="24"/>
      <c r="G82" s="24"/>
      <c r="H82" s="24"/>
      <c r="I82" s="500"/>
      <c r="J82" s="500"/>
      <c r="K82" s="500"/>
      <c r="L82" s="500"/>
      <c r="M82" s="500"/>
      <c r="N82" s="2111"/>
      <c r="O82" s="2112"/>
      <c r="P82" s="2113"/>
      <c r="Q82" s="2114"/>
      <c r="R82" s="2114"/>
      <c r="S82" s="2114"/>
      <c r="T82" s="2114"/>
      <c r="U82" s="2113"/>
      <c r="V82" s="2114"/>
      <c r="W82" s="2114"/>
    </row>
    <row r="83" spans="1:26" s="2109" customFormat="1" ht="16.5" customHeight="1" thickBot="1">
      <c r="A83" s="2108"/>
      <c r="C83" s="4"/>
      <c r="D83" s="4"/>
      <c r="E83" s="361"/>
      <c r="F83" s="125"/>
      <c r="G83" s="4"/>
      <c r="H83" s="4"/>
      <c r="I83" s="500"/>
      <c r="J83" s="500"/>
      <c r="K83" s="500"/>
      <c r="L83" s="148" t="s">
        <v>2</v>
      </c>
      <c r="M83" s="145">
        <f>重み!M23</f>
        <v>0.25</v>
      </c>
      <c r="N83" s="2111"/>
      <c r="O83" s="29" t="str">
        <f>C82</f>
        <v>感染症に備える</v>
      </c>
      <c r="P83" s="29">
        <f>D82</f>
        <v>0</v>
      </c>
      <c r="Q83" s="29">
        <f t="shared" ref="Q83:X83" si="3">E83</f>
        <v>0</v>
      </c>
      <c r="R83" s="29">
        <f t="shared" si="3"/>
        <v>0</v>
      </c>
      <c r="S83" s="29">
        <f t="shared" si="3"/>
        <v>0</v>
      </c>
      <c r="T83" s="29">
        <f t="shared" si="3"/>
        <v>0</v>
      </c>
      <c r="U83" s="29">
        <f t="shared" si="3"/>
        <v>0</v>
      </c>
      <c r="V83" s="29">
        <f t="shared" si="3"/>
        <v>0</v>
      </c>
      <c r="W83" s="29">
        <f t="shared" si="3"/>
        <v>0</v>
      </c>
      <c r="X83" s="29" t="str">
        <f t="shared" si="3"/>
        <v>重み係数＝</v>
      </c>
      <c r="Y83" s="2157">
        <f>M83</f>
        <v>0.25</v>
      </c>
      <c r="Z83" s="4"/>
    </row>
    <row r="84" spans="1:26" s="2109" customFormat="1" ht="16.2" customHeight="1" thickBot="1">
      <c r="A84" s="2108"/>
      <c r="B84" s="2117"/>
      <c r="C84" s="365"/>
      <c r="D84" s="865">
        <f>ROUND(IF(F102=0,2,IF(F102&lt;=1,3,IF(F102&lt;=2,4,5))),0)</f>
        <v>4</v>
      </c>
      <c r="E84" s="1326" t="s">
        <v>415</v>
      </c>
      <c r="F84" s="1327"/>
      <c r="G84" s="1327"/>
      <c r="H84" s="1327"/>
      <c r="I84" s="1327"/>
      <c r="J84" s="1327"/>
      <c r="K84" s="1327"/>
      <c r="L84" s="2152" t="s">
        <v>582</v>
      </c>
      <c r="M84" s="2153"/>
      <c r="N84" s="2111"/>
      <c r="O84" s="121"/>
      <c r="P84" s="29"/>
      <c r="Q84" s="121"/>
      <c r="R84" s="29"/>
      <c r="S84" s="29"/>
      <c r="T84" s="29"/>
      <c r="U84" s="29"/>
      <c r="V84" s="29"/>
      <c r="W84" s="29"/>
      <c r="X84" s="29"/>
      <c r="Y84" s="29"/>
      <c r="Z84" s="4"/>
    </row>
    <row r="85" spans="1:26" s="2109" customFormat="1">
      <c r="A85" s="2108"/>
      <c r="B85" s="2117"/>
      <c r="C85" s="365"/>
      <c r="D85" s="25" t="str">
        <f>IF(D84=$Q$14,$R$9,IF(AND($M$3=$Y$3,ROUNDDOWN(D84,0)=$Q$9),$S$9,$R$9))</f>
        <v>　レベル　1</v>
      </c>
      <c r="E85" s="438" t="s">
        <v>409</v>
      </c>
      <c r="F85" s="487"/>
      <c r="G85" s="487"/>
      <c r="H85" s="487"/>
      <c r="I85" s="487"/>
      <c r="J85" s="487"/>
      <c r="K85" s="487"/>
      <c r="L85" s="2943" t="s">
        <v>1688</v>
      </c>
      <c r="M85" s="2944"/>
      <c r="N85" s="2111"/>
      <c r="O85" s="121"/>
      <c r="P85" s="2143" t="s">
        <v>55</v>
      </c>
      <c r="Q85" s="29"/>
      <c r="R85" s="29"/>
      <c r="S85" s="29"/>
      <c r="T85" s="29"/>
      <c r="U85" s="2143">
        <f>$Q$9</f>
        <v>1</v>
      </c>
      <c r="V85" s="29"/>
      <c r="W85" s="29"/>
      <c r="X85" s="29"/>
      <c r="Y85" s="29"/>
      <c r="Z85" s="4"/>
    </row>
    <row r="86" spans="1:26" s="2109" customFormat="1">
      <c r="A86" s="2108"/>
      <c r="B86" s="2117"/>
      <c r="C86" s="365"/>
      <c r="D86" s="28" t="str">
        <f>IF(D84=$Q$14,$R$10,IF(AND($M$3=$Y$3,ROUNDDOWN(D84,0)=$Q$10),$S$10,$R$10))</f>
        <v>　レベル　2</v>
      </c>
      <c r="E86" s="439" t="s">
        <v>1689</v>
      </c>
      <c r="F86" s="489"/>
      <c r="G86" s="489"/>
      <c r="H86" s="489"/>
      <c r="I86" s="489"/>
      <c r="J86" s="489"/>
      <c r="K86" s="489"/>
      <c r="L86" s="2945"/>
      <c r="M86" s="2946"/>
      <c r="N86" s="2111"/>
      <c r="O86" s="121"/>
      <c r="P86" s="2143">
        <v>2</v>
      </c>
      <c r="Q86" s="29"/>
      <c r="R86" s="29"/>
      <c r="S86" s="29"/>
      <c r="T86" s="29"/>
      <c r="U86" s="2143">
        <f>$Q$10</f>
        <v>2</v>
      </c>
      <c r="V86" s="29"/>
      <c r="W86" s="29"/>
      <c r="X86" s="29"/>
      <c r="Y86" s="29"/>
      <c r="Z86" s="4"/>
    </row>
    <row r="87" spans="1:26" s="2109" customFormat="1">
      <c r="A87" s="2108"/>
      <c r="B87" s="2117"/>
      <c r="C87" s="365"/>
      <c r="D87" s="28" t="str">
        <f>IF(D84=$Q$14,$R$11,IF(AND($M$3=$Y$3,ROUNDDOWN(D84,0)=$Q$11),$S$11,$R$11))</f>
        <v>　レベル　3</v>
      </c>
      <c r="E87" s="451" t="s">
        <v>1690</v>
      </c>
      <c r="F87" s="489"/>
      <c r="G87" s="489"/>
      <c r="H87" s="489"/>
      <c r="I87" s="489"/>
      <c r="J87" s="489"/>
      <c r="K87" s="489"/>
      <c r="L87" s="2945"/>
      <c r="M87" s="2946"/>
      <c r="N87" s="2111"/>
      <c r="O87" s="121"/>
      <c r="P87" s="2143">
        <f>$Q$11</f>
        <v>3</v>
      </c>
      <c r="Q87" s="29"/>
      <c r="R87" s="29"/>
      <c r="S87" s="29"/>
      <c r="T87" s="29"/>
      <c r="U87" s="2143">
        <f>$Q$11</f>
        <v>3</v>
      </c>
      <c r="V87" s="29"/>
      <c r="W87" s="29"/>
      <c r="X87" s="29"/>
      <c r="Y87" s="29"/>
      <c r="Z87" s="4"/>
    </row>
    <row r="88" spans="1:26" s="2109" customFormat="1">
      <c r="A88" s="2108"/>
      <c r="B88" s="2117"/>
      <c r="C88" s="365"/>
      <c r="D88" s="28" t="str">
        <f>IF(D84=$Q$14,$R$12,IF(AND($M$3=$Y$3,ROUNDDOWN(D84,0)=$Q$12),$S$12,$R$12))</f>
        <v>■レベル　4</v>
      </c>
      <c r="E88" s="451" t="s">
        <v>1691</v>
      </c>
      <c r="F88" s="2630"/>
      <c r="G88" s="2630"/>
      <c r="H88" s="2630"/>
      <c r="I88" s="2630"/>
      <c r="J88" s="2630"/>
      <c r="K88" s="2630"/>
      <c r="L88" s="2945"/>
      <c r="M88" s="2946"/>
      <c r="N88" s="2111"/>
      <c r="O88" s="121"/>
      <c r="P88" s="2143">
        <f>$Q$12</f>
        <v>4</v>
      </c>
      <c r="Q88" s="29"/>
      <c r="R88" s="29"/>
      <c r="S88" s="29"/>
      <c r="T88" s="29"/>
      <c r="U88" s="2143">
        <f>$Q$12</f>
        <v>4</v>
      </c>
      <c r="V88" s="29"/>
      <c r="W88" s="29"/>
      <c r="X88" s="29"/>
      <c r="Y88" s="29"/>
      <c r="Z88" s="4"/>
    </row>
    <row r="89" spans="1:26" s="2109" customFormat="1">
      <c r="A89" s="2108"/>
      <c r="B89" s="2117"/>
      <c r="C89" s="365"/>
      <c r="D89" s="26" t="str">
        <f>IF(D84=$Q$14,$R$13,IF(AND($M$3=$Y$3,ROUNDDOWN(D84,0)=$Q$13),$S$13,$R$13))</f>
        <v>　レベル　5</v>
      </c>
      <c r="E89" s="473" t="s">
        <v>1692</v>
      </c>
      <c r="F89" s="2632"/>
      <c r="G89" s="2632"/>
      <c r="H89" s="2632"/>
      <c r="I89" s="2632"/>
      <c r="J89" s="2632"/>
      <c r="K89" s="2632"/>
      <c r="L89" s="2947"/>
      <c r="M89" s="2948"/>
      <c r="N89" s="2111"/>
      <c r="O89" s="121"/>
      <c r="P89" s="2143">
        <f>$Q$13</f>
        <v>5</v>
      </c>
      <c r="Q89" s="29"/>
      <c r="R89" s="29"/>
      <c r="S89" s="29"/>
      <c r="T89" s="29"/>
      <c r="U89" s="2143">
        <f>$Q$13</f>
        <v>5</v>
      </c>
      <c r="V89" s="29"/>
      <c r="W89" s="29"/>
      <c r="X89" s="29"/>
      <c r="Y89" s="29"/>
      <c r="Z89" s="4"/>
    </row>
    <row r="90" spans="1:26" s="2114" customFormat="1">
      <c r="A90" s="2119"/>
      <c r="B90" s="2117"/>
      <c r="C90" s="504"/>
      <c r="D90" s="270"/>
      <c r="E90" s="1325" t="s">
        <v>423</v>
      </c>
      <c r="F90" s="362"/>
      <c r="G90" s="362"/>
      <c r="H90" s="362"/>
      <c r="I90" s="500"/>
      <c r="J90" s="500"/>
      <c r="K90" s="500"/>
      <c r="L90" s="500"/>
      <c r="M90" s="500"/>
      <c r="N90" s="2111"/>
      <c r="O90" s="29"/>
      <c r="P90" s="2143" t="s">
        <v>68</v>
      </c>
      <c r="Q90" t="s">
        <v>87</v>
      </c>
      <c r="R90" s="4"/>
      <c r="S90" s="4"/>
      <c r="T90" s="29"/>
      <c r="U90" s="29"/>
      <c r="V90" s="29"/>
      <c r="W90" s="29"/>
      <c r="X90" s="29"/>
      <c r="Y90" s="29"/>
      <c r="Z90" s="29"/>
    </row>
    <row r="91" spans="1:26" s="2114" customFormat="1" ht="16.2" thickBot="1">
      <c r="A91" s="2119"/>
      <c r="B91" s="2117"/>
      <c r="C91" s="504"/>
      <c r="D91" s="270"/>
      <c r="E91" s="119" t="s">
        <v>351</v>
      </c>
      <c r="F91" s="428" t="s">
        <v>78</v>
      </c>
      <c r="G91" s="2154" t="s">
        <v>17</v>
      </c>
      <c r="H91" s="447"/>
      <c r="I91" s="2154" t="s">
        <v>80</v>
      </c>
      <c r="J91" s="447"/>
      <c r="K91" s="447"/>
      <c r="L91" s="447"/>
      <c r="M91" s="448"/>
      <c r="N91" s="2111"/>
      <c r="O91" s="29"/>
      <c r="P91" s="2156"/>
      <c r="Q91"/>
      <c r="R91" s="4"/>
      <c r="S91" s="4"/>
      <c r="T91" s="29"/>
      <c r="U91" s="29"/>
      <c r="V91" s="29"/>
      <c r="W91" s="29"/>
      <c r="X91" s="29"/>
      <c r="Y91" s="29"/>
      <c r="Z91" s="29"/>
    </row>
    <row r="92" spans="1:26" s="2114" customFormat="1">
      <c r="A92" s="2119"/>
      <c r="B92" s="2117"/>
      <c r="C92" s="504"/>
      <c r="D92" s="270"/>
      <c r="E92" s="2953"/>
      <c r="F92" s="2956">
        <v>1</v>
      </c>
      <c r="G92" s="2949" t="s">
        <v>1693</v>
      </c>
      <c r="H92" s="2950"/>
      <c r="I92" s="496" t="s">
        <v>1694</v>
      </c>
      <c r="J92" s="668"/>
      <c r="K92" s="668"/>
      <c r="L92" s="668"/>
      <c r="M92" s="669"/>
      <c r="N92" s="2111"/>
      <c r="P92" s="2113"/>
      <c r="Q92" s="2122"/>
      <c r="R92" s="2109"/>
      <c r="S92" s="2109"/>
    </row>
    <row r="93" spans="1:26" s="2114" customFormat="1" ht="16.2" thickBot="1">
      <c r="A93" s="2119"/>
      <c r="B93" s="2117"/>
      <c r="C93" s="504"/>
      <c r="D93" s="270"/>
      <c r="E93" s="2955"/>
      <c r="F93" s="2957"/>
      <c r="G93" s="2951"/>
      <c r="H93" s="2952"/>
      <c r="I93" s="439" t="s">
        <v>1695</v>
      </c>
      <c r="J93" s="430"/>
      <c r="K93" s="430"/>
      <c r="L93" s="430"/>
      <c r="M93" s="431"/>
      <c r="N93" s="2111"/>
      <c r="P93" s="2113"/>
      <c r="Q93" s="2122"/>
      <c r="R93" s="2109"/>
      <c r="S93" s="2109"/>
    </row>
    <row r="94" spans="1:26" s="2114" customFormat="1">
      <c r="A94" s="2119"/>
      <c r="B94" s="2117"/>
      <c r="C94" s="504"/>
      <c r="D94" s="270"/>
      <c r="E94" s="2953" t="s">
        <v>687</v>
      </c>
      <c r="F94" s="2958">
        <v>2</v>
      </c>
      <c r="G94" s="2951" t="s">
        <v>1696</v>
      </c>
      <c r="H94" s="2952"/>
      <c r="I94" s="439" t="s">
        <v>1697</v>
      </c>
      <c r="J94" s="430"/>
      <c r="K94" s="430"/>
      <c r="L94" s="430"/>
      <c r="M94" s="431"/>
      <c r="N94" s="2111"/>
      <c r="P94" s="2113"/>
      <c r="Q94" s="2122"/>
      <c r="R94" s="2109"/>
      <c r="S94" s="2109"/>
    </row>
    <row r="95" spans="1:26" s="2114" customFormat="1">
      <c r="A95" s="2119"/>
      <c r="B95" s="2117"/>
      <c r="C95" s="504"/>
      <c r="D95" s="270"/>
      <c r="E95" s="2954"/>
      <c r="F95" s="2959"/>
      <c r="G95" s="2951"/>
      <c r="H95" s="2952"/>
      <c r="I95" s="439" t="s">
        <v>1698</v>
      </c>
      <c r="J95" s="430"/>
      <c r="K95" s="430"/>
      <c r="L95" s="430"/>
      <c r="M95" s="431"/>
      <c r="N95" s="2111"/>
      <c r="P95" s="2113"/>
      <c r="Q95" s="2122"/>
      <c r="R95" s="2109"/>
      <c r="S95" s="2109"/>
    </row>
    <row r="96" spans="1:26" s="2114" customFormat="1" ht="16.2" thickBot="1">
      <c r="A96" s="2119"/>
      <c r="B96" s="2117"/>
      <c r="C96" s="504"/>
      <c r="D96" s="270"/>
      <c r="E96" s="2955"/>
      <c r="F96" s="2957"/>
      <c r="G96" s="2951"/>
      <c r="H96" s="2952"/>
      <c r="I96" s="439" t="s">
        <v>1699</v>
      </c>
      <c r="J96" s="430"/>
      <c r="K96" s="430"/>
      <c r="L96" s="430"/>
      <c r="M96" s="431"/>
      <c r="N96" s="2111"/>
      <c r="P96" s="2113"/>
      <c r="Q96" s="2122"/>
      <c r="R96" s="2109"/>
      <c r="S96" s="2109"/>
    </row>
    <row r="97" spans="1:26" s="2114" customFormat="1">
      <c r="A97" s="2119"/>
      <c r="B97" s="2117"/>
      <c r="C97" s="504"/>
      <c r="D97" s="270"/>
      <c r="E97" s="2953"/>
      <c r="F97" s="2958">
        <v>3</v>
      </c>
      <c r="G97" s="2951" t="s">
        <v>1700</v>
      </c>
      <c r="H97" s="2952"/>
      <c r="I97" s="439" t="s">
        <v>1701</v>
      </c>
      <c r="J97" s="430"/>
      <c r="K97" s="430"/>
      <c r="L97" s="430"/>
      <c r="M97" s="431"/>
      <c r="N97" s="2111"/>
      <c r="P97" s="2113"/>
      <c r="Q97" s="2122"/>
      <c r="R97" s="2109"/>
      <c r="S97" s="2109"/>
    </row>
    <row r="98" spans="1:26" s="2114" customFormat="1" ht="16.2" thickBot="1">
      <c r="A98" s="2119"/>
      <c r="B98" s="2117"/>
      <c r="C98" s="504"/>
      <c r="D98" s="270"/>
      <c r="E98" s="2955"/>
      <c r="F98" s="2957"/>
      <c r="G98" s="2951"/>
      <c r="H98" s="2952"/>
      <c r="I98" s="439" t="s">
        <v>1702</v>
      </c>
      <c r="J98" s="430"/>
      <c r="K98" s="430"/>
      <c r="L98" s="430"/>
      <c r="M98" s="431"/>
      <c r="N98" s="2111"/>
      <c r="P98" s="2113"/>
      <c r="Q98" s="2122"/>
      <c r="R98" s="2109"/>
      <c r="S98" s="2109"/>
    </row>
    <row r="99" spans="1:26" s="2114" customFormat="1">
      <c r="A99" s="2119"/>
      <c r="B99" s="2117"/>
      <c r="C99" s="504"/>
      <c r="D99" s="270"/>
      <c r="E99" s="2953" t="s">
        <v>687</v>
      </c>
      <c r="F99" s="2958">
        <v>4</v>
      </c>
      <c r="G99" s="2951" t="s">
        <v>1703</v>
      </c>
      <c r="H99" s="2952"/>
      <c r="I99" s="439" t="s">
        <v>1704</v>
      </c>
      <c r="J99" s="430"/>
      <c r="K99" s="430"/>
      <c r="L99" s="430"/>
      <c r="M99" s="431"/>
      <c r="N99" s="2111"/>
      <c r="P99" s="2113"/>
      <c r="Q99" s="2122"/>
      <c r="R99" s="2109"/>
      <c r="S99" s="2109"/>
    </row>
    <row r="100" spans="1:26" s="2114" customFormat="1">
      <c r="A100" s="2119"/>
      <c r="B100" s="2117"/>
      <c r="C100" s="504"/>
      <c r="D100" s="270"/>
      <c r="E100" s="2954"/>
      <c r="F100" s="2959"/>
      <c r="G100" s="2951"/>
      <c r="H100" s="2952"/>
      <c r="I100" s="439" t="s">
        <v>1705</v>
      </c>
      <c r="J100" s="430"/>
      <c r="K100" s="430"/>
      <c r="L100" s="430"/>
      <c r="M100" s="431"/>
      <c r="N100" s="2111"/>
      <c r="P100" s="2113"/>
      <c r="Q100" s="2122"/>
      <c r="R100" s="2109"/>
      <c r="S100" s="2109"/>
    </row>
    <row r="101" spans="1:26" s="2114" customFormat="1" ht="16.2" thickBot="1">
      <c r="A101" s="2119"/>
      <c r="B101" s="2117"/>
      <c r="C101" s="504"/>
      <c r="D101" s="270"/>
      <c r="E101" s="2955"/>
      <c r="F101" s="2960"/>
      <c r="G101" s="2961"/>
      <c r="H101" s="2962"/>
      <c r="I101" s="440" t="s">
        <v>1706</v>
      </c>
      <c r="J101" s="426"/>
      <c r="K101" s="426"/>
      <c r="L101" s="426"/>
      <c r="M101" s="427"/>
      <c r="N101" s="2111"/>
      <c r="P101" s="2113"/>
      <c r="Q101" s="2122"/>
      <c r="R101" s="2109"/>
      <c r="S101" s="2109"/>
    </row>
    <row r="102" spans="1:26" s="2114" customFormat="1">
      <c r="A102" s="2119"/>
      <c r="B102" s="2117"/>
      <c r="C102" s="504"/>
      <c r="D102" s="270"/>
      <c r="E102" s="497" t="s">
        <v>250</v>
      </c>
      <c r="F102" s="838">
        <f>COUNTIF(E92:E101,"○")</f>
        <v>2</v>
      </c>
      <c r="G102" s="845"/>
      <c r="H102" s="845"/>
      <c r="I102" s="118"/>
      <c r="J102" s="405"/>
      <c r="K102" s="118"/>
      <c r="L102" s="405"/>
      <c r="M102" s="2155"/>
      <c r="N102" s="2111"/>
      <c r="P102" s="2113"/>
      <c r="Q102" s="2122"/>
      <c r="R102" s="2109"/>
      <c r="S102" s="2109"/>
    </row>
    <row r="103" spans="1:26" s="2114" customFormat="1" ht="8.25" customHeight="1">
      <c r="A103" s="2119"/>
      <c r="B103" s="2117"/>
      <c r="C103" s="504"/>
      <c r="D103" s="270"/>
      <c r="E103" s="270"/>
      <c r="F103" s="2"/>
      <c r="G103" s="2"/>
      <c r="H103" s="2"/>
      <c r="I103" s="2"/>
      <c r="J103" s="2"/>
      <c r="K103" s="2"/>
      <c r="L103" s="2"/>
      <c r="M103" s="2"/>
      <c r="N103" s="2111"/>
      <c r="P103" s="2113"/>
      <c r="Q103" s="2122"/>
      <c r="R103" s="2109"/>
      <c r="S103" s="2109"/>
    </row>
    <row r="104" spans="1:26" s="2114" customFormat="1" ht="21" customHeight="1">
      <c r="A104" s="2119"/>
      <c r="B104" s="2117"/>
      <c r="C104" s="504"/>
      <c r="D104" s="29"/>
      <c r="E104" s="646" t="s">
        <v>3</v>
      </c>
      <c r="F104" s="647"/>
      <c r="G104" s="2441"/>
      <c r="H104" s="2442"/>
      <c r="I104" s="990"/>
      <c r="J104" s="990"/>
      <c r="K104" s="990"/>
      <c r="L104" s="990"/>
      <c r="M104" s="991"/>
      <c r="N104" s="2111"/>
      <c r="P104" s="2113"/>
      <c r="Q104" s="2122"/>
      <c r="R104" s="2109"/>
      <c r="S104" s="2109"/>
      <c r="U104" s="2113"/>
    </row>
    <row r="105" spans="1:26" s="2126" customFormat="1" ht="9" customHeight="1">
      <c r="A105" s="2128"/>
      <c r="B105" s="2127"/>
      <c r="C105" s="504"/>
      <c r="D105" s="506"/>
      <c r="E105" s="362"/>
      <c r="F105" s="362"/>
      <c r="G105" s="362"/>
      <c r="H105" s="362"/>
      <c r="I105" s="500"/>
      <c r="J105" s="500"/>
      <c r="K105" s="500"/>
      <c r="L105" s="500"/>
      <c r="M105" s="500"/>
      <c r="N105" s="2129"/>
      <c r="O105" s="2131"/>
      <c r="P105" s="2132"/>
      <c r="Q105" s="2131"/>
      <c r="R105" s="2130"/>
      <c r="S105" s="2130"/>
      <c r="T105" s="2130"/>
      <c r="U105" s="2132"/>
      <c r="V105" s="2130"/>
      <c r="W105" s="2130"/>
      <c r="X105" s="2130"/>
      <c r="Y105" s="2130"/>
      <c r="Z105" s="2130"/>
    </row>
    <row r="106" spans="1:26" ht="19.5" customHeight="1">
      <c r="A106" s="2"/>
      <c r="B106" s="513">
        <v>2.4</v>
      </c>
      <c r="C106" s="285" t="s">
        <v>1682</v>
      </c>
      <c r="D106" s="4"/>
      <c r="E106" s="21"/>
      <c r="F106" s="21"/>
      <c r="G106" s="21"/>
      <c r="H106" s="21"/>
      <c r="I106" s="500"/>
      <c r="J106" s="500"/>
      <c r="K106" s="500"/>
      <c r="L106" s="500"/>
      <c r="M106" s="500"/>
      <c r="N106" s="22"/>
      <c r="O106" s="123"/>
      <c r="P106" s="123"/>
      <c r="Q106" s="123"/>
      <c r="R106" s="265"/>
      <c r="S106" s="265"/>
      <c r="T106" s="265"/>
    </row>
    <row r="107" spans="1:26" ht="16.5" customHeight="1" thickBot="1">
      <c r="A107" s="2"/>
      <c r="B107" s="4"/>
      <c r="C107" s="4"/>
      <c r="D107" s="4"/>
      <c r="E107" s="361"/>
      <c r="F107" s="125"/>
      <c r="I107" s="500"/>
      <c r="J107" s="500"/>
      <c r="K107" s="500"/>
      <c r="L107" s="148" t="s">
        <v>2</v>
      </c>
      <c r="M107" s="145">
        <f>重み!M24</f>
        <v>0.25</v>
      </c>
      <c r="N107" s="22"/>
      <c r="O107" s="29" t="str">
        <f>C106</f>
        <v>住まい方で災害に備える</v>
      </c>
      <c r="P107" s="29">
        <f>D106</f>
        <v>0</v>
      </c>
      <c r="Q107" s="29">
        <f t="shared" ref="Q107:Y107" si="4">E107</f>
        <v>0</v>
      </c>
      <c r="R107" s="29">
        <f t="shared" si="4"/>
        <v>0</v>
      </c>
      <c r="S107" s="29">
        <f t="shared" si="4"/>
        <v>0</v>
      </c>
      <c r="T107" s="29">
        <f t="shared" si="4"/>
        <v>0</v>
      </c>
      <c r="U107" s="29">
        <f t="shared" si="4"/>
        <v>0</v>
      </c>
      <c r="V107" s="29">
        <f t="shared" si="4"/>
        <v>0</v>
      </c>
      <c r="W107" s="29">
        <f t="shared" si="4"/>
        <v>0</v>
      </c>
      <c r="X107" s="29" t="str">
        <f t="shared" si="4"/>
        <v>重み係数＝</v>
      </c>
      <c r="Y107" s="29">
        <f t="shared" si="4"/>
        <v>0.25</v>
      </c>
    </row>
    <row r="108" spans="1:26" ht="16.2" thickBot="1">
      <c r="A108" s="2"/>
      <c r="B108" s="137"/>
      <c r="C108" s="512"/>
      <c r="D108" s="865">
        <f>IF(メイン!C11=メイン!I10,E115,E128)</f>
        <v>5</v>
      </c>
      <c r="E108" s="2934" t="s">
        <v>415</v>
      </c>
      <c r="F108" s="2935"/>
      <c r="G108" s="2935"/>
      <c r="H108" s="2935"/>
      <c r="I108" s="2935"/>
      <c r="J108" s="2935"/>
      <c r="K108" s="2935"/>
      <c r="L108" s="2935"/>
      <c r="M108" s="2936"/>
      <c r="N108" s="22"/>
      <c r="P108" s="29"/>
      <c r="R108" s="29"/>
      <c r="S108" s="29"/>
      <c r="T108" s="29"/>
      <c r="U108" s="29"/>
      <c r="V108" s="29"/>
      <c r="W108" s="29"/>
      <c r="X108" s="29"/>
      <c r="Y108" s="29"/>
    </row>
    <row r="109" spans="1:26">
      <c r="A109" s="2"/>
      <c r="B109" s="137"/>
      <c r="C109" s="504"/>
      <c r="D109" s="25" t="str">
        <f>IF(D108=$Q$14,$R$9,IF(ROUNDDOWN(D108,0)=$Q$9,$S$9,$R$9))</f>
        <v>　レベル　1</v>
      </c>
      <c r="E109" s="438" t="s">
        <v>409</v>
      </c>
      <c r="F109" s="39"/>
      <c r="G109" s="39"/>
      <c r="H109" s="39"/>
      <c r="I109" s="39"/>
      <c r="J109" s="39"/>
      <c r="K109" s="39"/>
      <c r="L109" s="802"/>
      <c r="M109" s="803"/>
      <c r="N109" s="22"/>
      <c r="O109" s="2493" t="s">
        <v>1926</v>
      </c>
      <c r="P109" s="491" t="s">
        <v>803</v>
      </c>
      <c r="R109" s="29"/>
      <c r="S109" s="29"/>
      <c r="T109" s="29"/>
      <c r="U109" s="491">
        <f>$Q$9</f>
        <v>1</v>
      </c>
      <c r="V109" s="29"/>
      <c r="W109" s="29"/>
      <c r="X109" s="29"/>
      <c r="Y109" s="29"/>
    </row>
    <row r="110" spans="1:26">
      <c r="A110" s="2"/>
      <c r="B110" s="137"/>
      <c r="C110" s="504"/>
      <c r="D110" s="28" t="str">
        <f>IF(D108=$Q$14,$R$10,IF(ROUNDDOWN(D108,0)=$Q$10,$S$10,$R$10))</f>
        <v>　レベル　2</v>
      </c>
      <c r="E110" s="439" t="s">
        <v>1689</v>
      </c>
      <c r="F110" s="2635"/>
      <c r="G110" s="2635"/>
      <c r="H110" s="2635"/>
      <c r="I110" s="2635"/>
      <c r="J110" s="2635"/>
      <c r="K110" s="2635"/>
      <c r="L110" s="798"/>
      <c r="M110" s="799"/>
      <c r="N110" s="22"/>
      <c r="P110" s="491">
        <v>2</v>
      </c>
      <c r="R110" s="29"/>
      <c r="S110" s="29"/>
      <c r="T110" s="29"/>
      <c r="U110" s="491">
        <f>$Q$10</f>
        <v>2</v>
      </c>
      <c r="V110" s="29"/>
      <c r="W110" s="29"/>
      <c r="X110" s="29"/>
      <c r="Y110" s="29"/>
      <c r="Z110" s="29"/>
    </row>
    <row r="111" spans="1:26">
      <c r="A111" s="2"/>
      <c r="B111" s="137"/>
      <c r="C111" s="504"/>
      <c r="D111" s="28" t="str">
        <f>IF(D108=$Q$14,$R$11,IF(ROUNDDOWN(D108,0)=$Q$11,$S$11,$R$11))</f>
        <v>　レベル　3</v>
      </c>
      <c r="E111" s="451" t="s">
        <v>1690</v>
      </c>
      <c r="F111" s="489"/>
      <c r="G111" s="489"/>
      <c r="H111" s="489"/>
      <c r="I111" s="489"/>
      <c r="J111" s="489"/>
      <c r="K111" s="489"/>
      <c r="L111" s="798"/>
      <c r="M111" s="799"/>
      <c r="N111" s="22"/>
      <c r="P111" s="491">
        <v>3</v>
      </c>
      <c r="R111" s="29"/>
      <c r="S111" s="29"/>
      <c r="T111" s="29"/>
      <c r="U111" s="491">
        <f>$Q$11</f>
        <v>3</v>
      </c>
      <c r="V111" s="29"/>
      <c r="W111" s="29"/>
      <c r="X111" s="29"/>
      <c r="Y111" s="29"/>
      <c r="Z111" s="29"/>
    </row>
    <row r="112" spans="1:26">
      <c r="A112" s="2"/>
      <c r="B112" s="137"/>
      <c r="C112" s="504"/>
      <c r="D112" s="28" t="str">
        <f>IF(D108=$Q$14,$R$12,IF(ROUNDDOWN(D108,0)=$Q$12,$S$12,$R$12))</f>
        <v>　レベル　4</v>
      </c>
      <c r="E112" s="451" t="s">
        <v>1691</v>
      </c>
      <c r="F112" s="2630"/>
      <c r="G112" s="2630"/>
      <c r="H112" s="2630"/>
      <c r="I112" s="2630"/>
      <c r="J112" s="2630"/>
      <c r="K112" s="2630"/>
      <c r="L112" s="798"/>
      <c r="M112" s="799"/>
      <c r="N112" s="22"/>
      <c r="P112" s="491">
        <v>4</v>
      </c>
      <c r="R112" s="29"/>
      <c r="S112" s="29"/>
      <c r="T112" s="29"/>
      <c r="U112" s="491">
        <f>$Q$12</f>
        <v>4</v>
      </c>
      <c r="V112" s="29"/>
      <c r="W112" s="29"/>
      <c r="X112" s="29"/>
      <c r="Y112" s="29"/>
      <c r="Z112" s="29"/>
    </row>
    <row r="113" spans="1:26">
      <c r="A113" s="2"/>
      <c r="B113" s="137"/>
      <c r="C113" s="504"/>
      <c r="D113" s="26" t="str">
        <f>IF(D108=$Q$14,$R$13,IF(ROUNDDOWN(D108,0)=$Q$13,$S$13,$R$13))</f>
        <v>■レベル　5</v>
      </c>
      <c r="E113" s="473" t="s">
        <v>1692</v>
      </c>
      <c r="F113" s="2632"/>
      <c r="G113" s="2632"/>
      <c r="H113" s="2632"/>
      <c r="I113" s="2632"/>
      <c r="J113" s="2632"/>
      <c r="K113" s="2632"/>
      <c r="L113" s="800"/>
      <c r="M113" s="801"/>
      <c r="N113" s="22"/>
      <c r="P113" s="491">
        <v>5</v>
      </c>
      <c r="R113" s="29"/>
      <c r="S113" s="29"/>
      <c r="T113" s="29"/>
      <c r="U113" s="491">
        <f>$Q$13</f>
        <v>5</v>
      </c>
      <c r="V113" s="29"/>
      <c r="W113" s="29"/>
      <c r="X113" s="29"/>
      <c r="Y113" s="29"/>
      <c r="Z113" s="29"/>
    </row>
    <row r="114" spans="1:26">
      <c r="A114" s="2"/>
      <c r="B114" s="137"/>
      <c r="C114" s="504"/>
      <c r="D114" s="506"/>
      <c r="E114" s="1325" t="s">
        <v>423</v>
      </c>
      <c r="F114" s="362"/>
      <c r="G114" s="362"/>
      <c r="H114" s="362"/>
      <c r="I114" s="500"/>
      <c r="J114" s="500"/>
      <c r="K114" s="500"/>
      <c r="L114" s="500"/>
      <c r="M114" s="500"/>
      <c r="N114" s="22"/>
      <c r="P114" s="491" t="s">
        <v>820</v>
      </c>
      <c r="Q114" s="284" t="s">
        <v>87</v>
      </c>
      <c r="R114" s="29"/>
      <c r="S114" s="29"/>
      <c r="T114" s="29"/>
      <c r="U114" s="491" t="str">
        <f>$Q$14</f>
        <v>対象外</v>
      </c>
      <c r="V114" s="29"/>
      <c r="W114" s="29"/>
      <c r="X114" s="29"/>
      <c r="Y114" s="29"/>
      <c r="Z114" s="29"/>
    </row>
    <row r="115" spans="1:26" ht="16.2" thickBot="1">
      <c r="A115" s="2"/>
      <c r="B115" s="137"/>
      <c r="C115" s="504"/>
      <c r="D115" s="506"/>
      <c r="E115" s="2503">
        <f>ROUND(IF(F120=0,2,IF(F120&lt;=1,3,IF(F120&lt;=2,4,5))),0)</f>
        <v>5</v>
      </c>
      <c r="F115" s="428" t="s">
        <v>78</v>
      </c>
      <c r="G115" s="2154" t="s">
        <v>80</v>
      </c>
      <c r="H115" s="447"/>
      <c r="I115" s="2154"/>
      <c r="J115" s="447"/>
      <c r="K115" s="447"/>
      <c r="L115" s="447"/>
      <c r="M115" s="448"/>
      <c r="N115" s="22"/>
      <c r="P115" s="511"/>
      <c r="R115" s="29"/>
      <c r="S115" s="29"/>
      <c r="T115" s="29"/>
      <c r="U115" s="511"/>
      <c r="V115" s="29"/>
      <c r="W115" s="29"/>
      <c r="X115" s="29"/>
      <c r="Y115" s="29"/>
      <c r="Z115" s="29"/>
    </row>
    <row r="116" spans="1:26" ht="33" thickBot="1">
      <c r="A116" s="2"/>
      <c r="B116" s="137"/>
      <c r="C116" s="504"/>
      <c r="D116" s="506"/>
      <c r="E116" s="649"/>
      <c r="F116" s="2636" t="s">
        <v>1652</v>
      </c>
      <c r="G116" s="2937" t="s">
        <v>1654</v>
      </c>
      <c r="H116" s="2938"/>
      <c r="I116" s="2938"/>
      <c r="J116" s="2938"/>
      <c r="K116" s="2938"/>
      <c r="L116" s="2938"/>
      <c r="M116" s="2939"/>
      <c r="N116" s="22"/>
      <c r="P116" s="511"/>
      <c r="R116" s="29"/>
      <c r="S116" s="29"/>
      <c r="T116" s="29"/>
      <c r="U116" s="511"/>
      <c r="V116" s="29"/>
      <c r="W116" s="29"/>
      <c r="X116" s="29"/>
      <c r="Y116" s="29"/>
      <c r="Z116" s="29"/>
    </row>
    <row r="117" spans="1:26" ht="39.6" customHeight="1" thickBot="1">
      <c r="A117" s="2"/>
      <c r="B117" s="137"/>
      <c r="C117" s="504"/>
      <c r="D117" s="506"/>
      <c r="E117" s="649" t="s">
        <v>687</v>
      </c>
      <c r="F117" s="2443" t="s">
        <v>1653</v>
      </c>
      <c r="G117" s="2967" t="s">
        <v>1655</v>
      </c>
      <c r="H117" s="2971"/>
      <c r="I117" s="2971"/>
      <c r="J117" s="2971"/>
      <c r="K117" s="2971"/>
      <c r="L117" s="2971"/>
      <c r="M117" s="2972"/>
      <c r="N117" s="22"/>
      <c r="P117" s="511"/>
      <c r="R117" s="29"/>
      <c r="S117" s="29"/>
      <c r="T117" s="29"/>
      <c r="U117" s="511"/>
      <c r="V117" s="29"/>
      <c r="W117" s="29"/>
      <c r="X117" s="29"/>
      <c r="Y117" s="29"/>
      <c r="Z117" s="29"/>
    </row>
    <row r="118" spans="1:26" ht="63.6" customHeight="1" thickBot="1">
      <c r="A118" s="2"/>
      <c r="B118" s="137"/>
      <c r="C118" s="504"/>
      <c r="D118" s="506"/>
      <c r="E118" s="649" t="s">
        <v>687</v>
      </c>
      <c r="F118" s="2443" t="s">
        <v>1651</v>
      </c>
      <c r="G118" s="2967" t="s">
        <v>1648</v>
      </c>
      <c r="H118" s="2971"/>
      <c r="I118" s="2971"/>
      <c r="J118" s="2971"/>
      <c r="K118" s="2971"/>
      <c r="L118" s="2971"/>
      <c r="M118" s="2972"/>
      <c r="N118" s="22"/>
      <c r="P118" s="511"/>
      <c r="R118" s="29"/>
      <c r="S118" s="29"/>
      <c r="T118" s="29"/>
      <c r="U118" s="511"/>
      <c r="V118" s="29"/>
      <c r="W118" s="29"/>
      <c r="X118" s="29"/>
      <c r="Y118" s="29"/>
      <c r="Z118" s="29"/>
    </row>
    <row r="119" spans="1:26" ht="47.4" customHeight="1" thickBot="1">
      <c r="A119" s="2"/>
      <c r="B119" s="137"/>
      <c r="C119" s="504"/>
      <c r="D119" s="506"/>
      <c r="E119" s="649" t="s">
        <v>687</v>
      </c>
      <c r="F119" s="2444" t="s">
        <v>1650</v>
      </c>
      <c r="G119" s="2963" t="s">
        <v>1649</v>
      </c>
      <c r="H119" s="2964"/>
      <c r="I119" s="2964"/>
      <c r="J119" s="2964"/>
      <c r="K119" s="2964"/>
      <c r="L119" s="2964"/>
      <c r="M119" s="2965"/>
      <c r="N119" s="22"/>
      <c r="P119" s="511"/>
      <c r="R119" s="29"/>
      <c r="S119" s="29"/>
      <c r="T119" s="29"/>
      <c r="U119" s="511"/>
      <c r="V119" s="29"/>
      <c r="W119" s="29"/>
      <c r="X119" s="29"/>
      <c r="Y119" s="29"/>
      <c r="Z119" s="29"/>
    </row>
    <row r="120" spans="1:26">
      <c r="A120" s="2"/>
      <c r="B120" s="137"/>
      <c r="C120" s="504"/>
      <c r="D120" s="506"/>
      <c r="E120" s="497" t="s">
        <v>250</v>
      </c>
      <c r="F120" s="838">
        <f>COUNTIF(E116:E119,"○")</f>
        <v>3</v>
      </c>
      <c r="G120" s="845"/>
      <c r="H120" s="845"/>
      <c r="I120" s="118"/>
      <c r="J120" s="405"/>
      <c r="K120" s="118"/>
      <c r="L120" s="405"/>
      <c r="M120" s="2155"/>
      <c r="N120" s="22"/>
      <c r="P120" s="511"/>
      <c r="R120" s="29"/>
      <c r="S120" s="29"/>
      <c r="T120" s="29"/>
      <c r="U120" s="511"/>
      <c r="V120" s="29"/>
      <c r="W120" s="29"/>
      <c r="X120" s="29"/>
      <c r="Y120" s="29"/>
      <c r="Z120" s="29"/>
    </row>
    <row r="121" spans="1:26" s="29" customFormat="1" ht="16.2" hidden="1" thickBot="1">
      <c r="A121" s="19"/>
      <c r="B121" s="137"/>
      <c r="C121" s="504"/>
      <c r="D121" s="270"/>
      <c r="E121" s="270"/>
      <c r="F121" s="2"/>
      <c r="G121" s="2"/>
      <c r="H121" s="2"/>
      <c r="I121" s="2"/>
      <c r="J121" s="2"/>
      <c r="K121" s="2"/>
      <c r="L121" s="2"/>
      <c r="M121" s="2"/>
      <c r="N121" s="22"/>
      <c r="R121" s="4"/>
      <c r="S121" s="4"/>
      <c r="T121" s="113"/>
    </row>
    <row r="122" spans="1:26" hidden="1">
      <c r="A122" s="2"/>
      <c r="B122" s="137"/>
      <c r="C122" s="504"/>
      <c r="D122" s="25" t="str">
        <f>IF(D108=$Q$14,$R$9,IF(ROUNDDOWN(D108,0)=$Q$9,$S$9,$R$9))</f>
        <v>　レベル　1</v>
      </c>
      <c r="E122" s="496" t="s">
        <v>1689</v>
      </c>
      <c r="F122" s="39"/>
      <c r="G122" s="39"/>
      <c r="H122" s="39"/>
      <c r="I122" s="39"/>
      <c r="J122" s="39"/>
      <c r="K122" s="39"/>
      <c r="L122" s="802"/>
      <c r="M122" s="803"/>
      <c r="N122" s="22"/>
      <c r="O122" s="2493" t="s">
        <v>1927</v>
      </c>
      <c r="P122" s="491">
        <v>1</v>
      </c>
      <c r="R122" s="29"/>
      <c r="S122" s="29"/>
      <c r="T122" s="29"/>
      <c r="U122" s="491">
        <f>$Q$9</f>
        <v>1</v>
      </c>
      <c r="V122" s="29"/>
      <c r="W122" s="29"/>
      <c r="X122" s="29"/>
      <c r="Y122" s="29"/>
    </row>
    <row r="123" spans="1:26" hidden="1">
      <c r="A123" s="2"/>
      <c r="B123" s="137"/>
      <c r="C123" s="504"/>
      <c r="D123" s="28" t="str">
        <f>IF(D108=$Q$14,$R$10,IF(ROUNDDOWN(D108,0)=$Q$10,$S$10,$R$10))</f>
        <v>　レベル　2</v>
      </c>
      <c r="E123" s="439" t="s">
        <v>409</v>
      </c>
      <c r="F123" s="2635"/>
      <c r="G123" s="2635"/>
      <c r="H123" s="2635"/>
      <c r="I123" s="2635"/>
      <c r="J123" s="2635"/>
      <c r="K123" s="2635"/>
      <c r="L123" s="798"/>
      <c r="M123" s="799"/>
      <c r="N123" s="22"/>
      <c r="P123" s="491" t="s">
        <v>55</v>
      </c>
      <c r="R123" s="29"/>
      <c r="S123" s="29"/>
      <c r="T123" s="29"/>
      <c r="U123" s="491">
        <f>$Q$10</f>
        <v>2</v>
      </c>
      <c r="V123" s="29"/>
      <c r="W123" s="29"/>
      <c r="X123" s="29"/>
      <c r="Y123" s="29"/>
      <c r="Z123" s="29"/>
    </row>
    <row r="124" spans="1:26" hidden="1">
      <c r="A124" s="2"/>
      <c r="B124" s="137"/>
      <c r="C124" s="504"/>
      <c r="D124" s="28" t="str">
        <f>IF(D108=$Q$14,$R$11,IF(ROUNDDOWN(D108,0)=$Q$11,$S$11,$R$11))</f>
        <v>　レベル　3</v>
      </c>
      <c r="E124" s="451" t="s">
        <v>1928</v>
      </c>
      <c r="F124" s="489"/>
      <c r="G124" s="489"/>
      <c r="H124" s="489"/>
      <c r="I124" s="489"/>
      <c r="J124" s="489"/>
      <c r="K124" s="489"/>
      <c r="L124" s="798"/>
      <c r="M124" s="799"/>
      <c r="N124" s="22"/>
      <c r="P124" s="491">
        <v>3</v>
      </c>
      <c r="R124" s="29"/>
      <c r="S124" s="29"/>
      <c r="T124" s="29"/>
      <c r="U124" s="491">
        <f>$Q$11</f>
        <v>3</v>
      </c>
      <c r="V124" s="29"/>
      <c r="W124" s="29"/>
      <c r="X124" s="29"/>
      <c r="Y124" s="29"/>
      <c r="Z124" s="29"/>
    </row>
    <row r="125" spans="1:26" hidden="1">
      <c r="A125" s="2"/>
      <c r="B125" s="137"/>
      <c r="C125" s="504"/>
      <c r="D125" s="28" t="str">
        <f>IF(D108=$Q$14,$R$12,IF(ROUNDDOWN(D108,0)=$Q$12,$S$12,$R$12))</f>
        <v>　レベル　4</v>
      </c>
      <c r="E125" s="451" t="s">
        <v>1929</v>
      </c>
      <c r="F125" s="2630"/>
      <c r="G125" s="2630"/>
      <c r="H125" s="2630"/>
      <c r="I125" s="2630"/>
      <c r="J125" s="2630"/>
      <c r="K125" s="2630"/>
      <c r="L125" s="798"/>
      <c r="M125" s="799"/>
      <c r="N125" s="22"/>
      <c r="P125" s="491">
        <v>4</v>
      </c>
      <c r="R125" s="29"/>
      <c r="S125" s="29"/>
      <c r="T125" s="29"/>
      <c r="U125" s="491">
        <f>$Q$12</f>
        <v>4</v>
      </c>
      <c r="V125" s="29"/>
      <c r="W125" s="29"/>
      <c r="X125" s="29"/>
      <c r="Y125" s="29"/>
      <c r="Z125" s="29"/>
    </row>
    <row r="126" spans="1:26" hidden="1">
      <c r="A126" s="2"/>
      <c r="B126" s="137"/>
      <c r="C126" s="504"/>
      <c r="D126" s="26" t="str">
        <f>IF(D108=$Q$14,$R$13,IF(ROUNDDOWN(D108,0)=$Q$13,$S$13,$R$13))</f>
        <v>■レベル　5</v>
      </c>
      <c r="E126" s="473" t="s">
        <v>1930</v>
      </c>
      <c r="F126" s="2632"/>
      <c r="G126" s="2632"/>
      <c r="H126" s="2632"/>
      <c r="I126" s="2632"/>
      <c r="J126" s="2632"/>
      <c r="K126" s="2632"/>
      <c r="L126" s="800"/>
      <c r="M126" s="801"/>
      <c r="N126" s="22"/>
      <c r="P126" s="491">
        <v>5</v>
      </c>
      <c r="R126" s="29"/>
      <c r="S126" s="29"/>
      <c r="T126" s="29"/>
      <c r="U126" s="491">
        <f>$Q$13</f>
        <v>5</v>
      </c>
      <c r="V126" s="29"/>
      <c r="W126" s="29"/>
      <c r="X126" s="29"/>
      <c r="Y126" s="29"/>
      <c r="Z126" s="29"/>
    </row>
    <row r="127" spans="1:26" hidden="1">
      <c r="A127" s="2"/>
      <c r="B127" s="137"/>
      <c r="C127" s="504"/>
      <c r="D127" s="506"/>
      <c r="E127" s="1325" t="s">
        <v>423</v>
      </c>
      <c r="F127" s="362"/>
      <c r="G127" s="362"/>
      <c r="H127" s="362"/>
      <c r="I127" s="500"/>
      <c r="J127" s="500"/>
      <c r="K127" s="500"/>
      <c r="L127" s="500"/>
      <c r="M127" s="500"/>
      <c r="N127" s="22"/>
      <c r="P127" s="2143" t="s">
        <v>55</v>
      </c>
      <c r="Q127" s="284" t="s">
        <v>87</v>
      </c>
      <c r="R127" s="29"/>
      <c r="S127" s="29"/>
      <c r="T127" s="29"/>
      <c r="U127" s="491" t="str">
        <f>$Q$14</f>
        <v>対象外</v>
      </c>
      <c r="V127" s="29"/>
      <c r="W127" s="29"/>
      <c r="X127" s="29"/>
      <c r="Y127" s="29"/>
      <c r="Z127" s="29"/>
    </row>
    <row r="128" spans="1:26" ht="16.2" hidden="1" thickBot="1">
      <c r="A128" s="2"/>
      <c r="B128" s="137"/>
      <c r="C128" s="504"/>
      <c r="D128" s="506"/>
      <c r="E128" s="2503">
        <f>ROUND(IF(E129=U4,IF(F136&gt;=4,5,IF(F136&gt;=2,4,IF(F136=1,3,1))),1),0)</f>
        <v>1</v>
      </c>
      <c r="F128" s="428" t="s">
        <v>78</v>
      </c>
      <c r="G128" s="2154" t="s">
        <v>80</v>
      </c>
      <c r="H128" s="447"/>
      <c r="I128" s="2154"/>
      <c r="J128" s="447"/>
      <c r="K128" s="447"/>
      <c r="L128" s="447"/>
      <c r="M128" s="448"/>
      <c r="N128" s="22"/>
      <c r="P128" s="511"/>
      <c r="R128" s="29"/>
      <c r="S128" s="29"/>
      <c r="T128" s="29"/>
      <c r="U128" s="511"/>
      <c r="V128" s="29"/>
      <c r="W128" s="29"/>
      <c r="X128" s="29"/>
      <c r="Y128" s="29"/>
      <c r="Z128" s="29"/>
    </row>
    <row r="129" spans="1:26" ht="22.2" hidden="1" thickBot="1">
      <c r="A129" s="2"/>
      <c r="B129" s="137"/>
      <c r="C129" s="504"/>
      <c r="D129" s="506"/>
      <c r="E129" s="649"/>
      <c r="F129" s="2636" t="s">
        <v>1931</v>
      </c>
      <c r="G129" s="2937" t="s">
        <v>1932</v>
      </c>
      <c r="H129" s="2938"/>
      <c r="I129" s="2938"/>
      <c r="J129" s="2938"/>
      <c r="K129" s="2938"/>
      <c r="L129" s="2938"/>
      <c r="M129" s="2939"/>
      <c r="N129" s="22"/>
      <c r="P129" s="511"/>
      <c r="R129" s="29"/>
      <c r="S129" s="29"/>
      <c r="T129" s="29"/>
      <c r="U129" s="511"/>
      <c r="V129" s="29"/>
      <c r="W129" s="29"/>
      <c r="X129" s="29"/>
      <c r="Y129" s="29"/>
      <c r="Z129" s="29"/>
    </row>
    <row r="130" spans="1:26" ht="16.2" hidden="1" thickBot="1">
      <c r="A130" s="2"/>
      <c r="B130" s="137"/>
      <c r="C130" s="504"/>
      <c r="D130" s="506"/>
      <c r="E130" s="649"/>
      <c r="F130" s="2940" t="s">
        <v>1939</v>
      </c>
      <c r="G130" s="2637" t="s">
        <v>1933</v>
      </c>
      <c r="H130" s="2638"/>
      <c r="I130" s="2638"/>
      <c r="J130" s="2638"/>
      <c r="K130" s="2638"/>
      <c r="L130" s="2638"/>
      <c r="M130" s="2639"/>
      <c r="N130" s="22"/>
      <c r="P130" s="511"/>
      <c r="R130" s="29"/>
      <c r="S130" s="29"/>
      <c r="T130" s="29"/>
      <c r="U130" s="511"/>
      <c r="V130" s="29"/>
      <c r="W130" s="29"/>
      <c r="X130" s="29"/>
      <c r="Y130" s="29"/>
      <c r="Z130" s="29"/>
    </row>
    <row r="131" spans="1:26" ht="16.2" hidden="1" thickBot="1">
      <c r="A131" s="2"/>
      <c r="B131" s="137"/>
      <c r="C131" s="504"/>
      <c r="D131" s="506"/>
      <c r="E131" s="649"/>
      <c r="F131" s="2941"/>
      <c r="G131" s="2637" t="s">
        <v>1934</v>
      </c>
      <c r="H131" s="2638"/>
      <c r="I131" s="2638"/>
      <c r="J131" s="2638"/>
      <c r="K131" s="2638"/>
      <c r="L131" s="2638"/>
      <c r="M131" s="2639"/>
      <c r="N131" s="22"/>
      <c r="P131" s="511"/>
      <c r="R131" s="29"/>
      <c r="S131" s="29"/>
      <c r="T131" s="29"/>
      <c r="U131" s="511"/>
      <c r="V131" s="29"/>
      <c r="W131" s="29"/>
      <c r="X131" s="29"/>
      <c r="Y131" s="29"/>
      <c r="Z131" s="29"/>
    </row>
    <row r="132" spans="1:26" ht="16.2" hidden="1" thickBot="1">
      <c r="A132" s="2"/>
      <c r="B132" s="137"/>
      <c r="C132" s="504"/>
      <c r="D132" s="506"/>
      <c r="E132" s="649"/>
      <c r="F132" s="2941"/>
      <c r="G132" s="2637" t="s">
        <v>1935</v>
      </c>
      <c r="H132" s="2638"/>
      <c r="I132" s="2638"/>
      <c r="J132" s="2638"/>
      <c r="K132" s="2638"/>
      <c r="L132" s="2638"/>
      <c r="M132" s="2639"/>
      <c r="N132" s="22"/>
      <c r="P132" s="511"/>
      <c r="R132" s="29"/>
      <c r="S132" s="29"/>
      <c r="T132" s="29"/>
      <c r="U132" s="511"/>
      <c r="V132" s="29"/>
      <c r="W132" s="29"/>
      <c r="X132" s="29"/>
      <c r="Y132" s="29"/>
      <c r="Z132" s="29"/>
    </row>
    <row r="133" spans="1:26" ht="16.2" hidden="1" thickBot="1">
      <c r="A133" s="2"/>
      <c r="B133" s="137"/>
      <c r="C133" s="504"/>
      <c r="D133" s="506"/>
      <c r="E133" s="649"/>
      <c r="F133" s="2941"/>
      <c r="G133" s="2637" t="s">
        <v>1936</v>
      </c>
      <c r="H133" s="2638"/>
      <c r="I133" s="2638"/>
      <c r="J133" s="2638"/>
      <c r="K133" s="2638"/>
      <c r="L133" s="2638"/>
      <c r="M133" s="2639"/>
      <c r="N133" s="22"/>
      <c r="P133" s="511"/>
      <c r="R133" s="29"/>
      <c r="S133" s="29"/>
      <c r="T133" s="29"/>
      <c r="U133" s="511"/>
      <c r="V133" s="29"/>
      <c r="W133" s="29"/>
      <c r="X133" s="29"/>
      <c r="Y133" s="29"/>
      <c r="Z133" s="29"/>
    </row>
    <row r="134" spans="1:26" ht="16.2" hidden="1" thickBot="1">
      <c r="A134" s="2"/>
      <c r="B134" s="137"/>
      <c r="C134" s="504"/>
      <c r="D134" s="506"/>
      <c r="E134" s="649"/>
      <c r="F134" s="2941"/>
      <c r="G134" s="2637" t="s">
        <v>1937</v>
      </c>
      <c r="H134" s="2638"/>
      <c r="I134" s="2638"/>
      <c r="J134" s="2638"/>
      <c r="K134" s="2638"/>
      <c r="L134" s="2638"/>
      <c r="M134" s="2639"/>
      <c r="N134" s="22"/>
      <c r="P134" s="511"/>
      <c r="R134" s="29"/>
      <c r="S134" s="29"/>
      <c r="T134" s="29"/>
      <c r="U134" s="511"/>
      <c r="V134" s="29"/>
      <c r="W134" s="29"/>
      <c r="X134" s="29"/>
      <c r="Y134" s="29"/>
      <c r="Z134" s="29"/>
    </row>
    <row r="135" spans="1:26" ht="16.2" hidden="1" thickBot="1">
      <c r="A135" s="2"/>
      <c r="B135" s="137"/>
      <c r="C135" s="504"/>
      <c r="D135" s="506"/>
      <c r="E135" s="649"/>
      <c r="F135" s="2942"/>
      <c r="G135" s="473" t="s">
        <v>1938</v>
      </c>
      <c r="H135" s="643"/>
      <c r="I135" s="643"/>
      <c r="J135" s="643"/>
      <c r="K135" s="643"/>
      <c r="L135" s="643"/>
      <c r="M135" s="644"/>
      <c r="N135" s="22"/>
      <c r="P135" s="511"/>
      <c r="R135" s="29"/>
      <c r="S135" s="29"/>
      <c r="T135" s="29"/>
      <c r="U135" s="511"/>
      <c r="V135" s="29"/>
      <c r="W135" s="29"/>
      <c r="X135" s="29"/>
      <c r="Y135" s="29"/>
      <c r="Z135" s="29"/>
    </row>
    <row r="136" spans="1:26" hidden="1">
      <c r="A136" s="2"/>
      <c r="B136" s="137"/>
      <c r="C136" s="504"/>
      <c r="D136" s="506"/>
      <c r="E136" s="497" t="s">
        <v>250</v>
      </c>
      <c r="F136" s="838">
        <f>COUNTIF(E130:E135,"○")</f>
        <v>0</v>
      </c>
      <c r="G136" s="845"/>
      <c r="H136" s="845"/>
      <c r="I136" s="118"/>
      <c r="J136" s="405"/>
      <c r="K136" s="118"/>
      <c r="L136" s="405"/>
      <c r="M136" s="2155"/>
      <c r="N136" s="22"/>
      <c r="P136" s="511"/>
      <c r="R136" s="29"/>
      <c r="S136" s="29"/>
      <c r="T136" s="29"/>
      <c r="U136" s="511"/>
      <c r="V136" s="29"/>
      <c r="W136" s="29"/>
      <c r="X136" s="29"/>
      <c r="Y136" s="29"/>
      <c r="Z136" s="29"/>
    </row>
    <row r="137" spans="1:26" ht="7.95" customHeight="1">
      <c r="A137" s="2"/>
      <c r="B137" s="137"/>
      <c r="C137" s="137"/>
      <c r="D137" s="137"/>
      <c r="E137" s="137"/>
      <c r="F137" s="137"/>
      <c r="G137" s="137"/>
      <c r="H137" s="137"/>
      <c r="I137" s="137"/>
      <c r="J137" s="137"/>
      <c r="K137" s="137"/>
      <c r="L137" s="137"/>
      <c r="M137" s="137"/>
      <c r="N137" s="137"/>
      <c r="P137" s="511"/>
      <c r="R137" s="29"/>
      <c r="S137" s="29"/>
      <c r="T137" s="29"/>
      <c r="U137" s="511"/>
      <c r="V137" s="29"/>
      <c r="W137" s="29"/>
      <c r="X137" s="29"/>
      <c r="Y137" s="29"/>
      <c r="Z137" s="29"/>
    </row>
    <row r="138" spans="1:26" s="29" customFormat="1" ht="21" customHeight="1">
      <c r="A138" s="19"/>
      <c r="B138" s="137"/>
      <c r="C138" s="504"/>
      <c r="E138" s="646" t="s">
        <v>3</v>
      </c>
      <c r="F138" s="647"/>
      <c r="G138" s="2441"/>
      <c r="H138" s="2442"/>
      <c r="I138" s="990"/>
      <c r="J138" s="990"/>
      <c r="K138" s="990"/>
      <c r="L138" s="990"/>
      <c r="M138" s="991"/>
      <c r="N138" s="22"/>
      <c r="P138" s="511"/>
      <c r="Q138" s="284"/>
      <c r="R138" s="4"/>
      <c r="S138" s="4"/>
      <c r="T138" s="113"/>
      <c r="U138" s="511"/>
      <c r="V138" s="113"/>
      <c r="W138" s="113"/>
      <c r="X138" s="113"/>
      <c r="Y138" s="113"/>
    </row>
    <row r="139" spans="1:26" ht="9" customHeight="1">
      <c r="A139" s="2"/>
      <c r="B139" s="137"/>
      <c r="C139" s="504"/>
      <c r="D139" s="506"/>
      <c r="E139" s="362"/>
      <c r="F139" s="362"/>
      <c r="G139" s="362"/>
      <c r="H139" s="362"/>
      <c r="I139" s="500"/>
      <c r="J139" s="500"/>
      <c r="K139" s="500"/>
      <c r="L139" s="500"/>
      <c r="M139" s="500"/>
      <c r="N139" s="22"/>
      <c r="P139" s="511"/>
      <c r="R139" s="29"/>
      <c r="S139" s="29"/>
      <c r="T139" s="29"/>
      <c r="U139" s="511"/>
      <c r="V139" s="29"/>
      <c r="W139" s="29"/>
      <c r="X139" s="29"/>
      <c r="Y139" s="29"/>
      <c r="Z139" s="29"/>
    </row>
    <row r="140" spans="1:26" ht="19.5" customHeight="1">
      <c r="A140" s="2"/>
      <c r="B140" s="513">
        <v>3</v>
      </c>
      <c r="C140" s="23" t="s">
        <v>511</v>
      </c>
      <c r="D140" s="23"/>
      <c r="E140" s="21"/>
      <c r="F140" s="21"/>
      <c r="G140" s="21"/>
      <c r="H140" s="21"/>
      <c r="I140" s="500"/>
      <c r="J140" s="500"/>
      <c r="K140" s="500"/>
      <c r="L140" s="500"/>
      <c r="M140" s="500"/>
      <c r="N140" s="22"/>
      <c r="O140" s="123"/>
      <c r="P140" s="123"/>
      <c r="Q140" s="123"/>
      <c r="R140" s="265"/>
      <c r="S140" s="265"/>
      <c r="T140" s="265"/>
    </row>
    <row r="141" spans="1:26" ht="19.5" customHeight="1" thickBot="1">
      <c r="A141" s="2"/>
      <c r="B141" s="513">
        <v>3.1</v>
      </c>
      <c r="C141" s="285" t="s">
        <v>331</v>
      </c>
      <c r="D141" s="4"/>
      <c r="E141" s="21"/>
      <c r="F141" s="21"/>
      <c r="G141" s="21"/>
      <c r="H141" s="21"/>
      <c r="I141" s="500"/>
      <c r="J141" s="500"/>
      <c r="K141" s="500"/>
      <c r="L141" s="500"/>
      <c r="M141" s="500"/>
      <c r="N141" s="22"/>
      <c r="O141" s="123"/>
      <c r="P141" s="123"/>
      <c r="Q141" s="123"/>
      <c r="R141" s="265"/>
      <c r="S141" s="265"/>
      <c r="T141" s="265"/>
    </row>
    <row r="142" spans="1:26" ht="16.5" customHeight="1" thickBot="1">
      <c r="A142" s="2"/>
      <c r="B142" s="4"/>
      <c r="C142" s="4"/>
      <c r="D142" s="866">
        <f>IF(D143+L152&lt;=5,D143+L152,5)</f>
        <v>5</v>
      </c>
      <c r="E142" s="361"/>
      <c r="F142" s="125"/>
      <c r="I142" s="500"/>
      <c r="J142" s="500"/>
      <c r="K142" s="500"/>
      <c r="L142" s="148" t="s">
        <v>2</v>
      </c>
      <c r="M142" s="145">
        <f>重み!M26</f>
        <v>0.5</v>
      </c>
      <c r="N142" s="22"/>
      <c r="O142" s="29" t="str">
        <f>C141</f>
        <v>昼光の利用</v>
      </c>
      <c r="P142" s="29">
        <f>D141</f>
        <v>0</v>
      </c>
      <c r="Q142" s="29">
        <f t="shared" ref="Q142:Y142" si="5">E142</f>
        <v>0</v>
      </c>
      <c r="R142" s="29">
        <f t="shared" si="5"/>
        <v>0</v>
      </c>
      <c r="S142" s="29">
        <f t="shared" si="5"/>
        <v>0</v>
      </c>
      <c r="T142" s="29">
        <f t="shared" si="5"/>
        <v>0</v>
      </c>
      <c r="U142" s="29">
        <f t="shared" si="5"/>
        <v>0</v>
      </c>
      <c r="V142" s="29">
        <f t="shared" si="5"/>
        <v>0</v>
      </c>
      <c r="W142" s="29">
        <f t="shared" si="5"/>
        <v>0</v>
      </c>
      <c r="X142" s="29" t="str">
        <f t="shared" si="5"/>
        <v>重み係数＝</v>
      </c>
      <c r="Y142" s="29">
        <f t="shared" si="5"/>
        <v>0.5</v>
      </c>
    </row>
    <row r="143" spans="1:26" ht="16.5" customHeight="1" thickBot="1">
      <c r="A143" s="2"/>
      <c r="B143" s="137"/>
      <c r="C143" s="512"/>
      <c r="D143" s="864">
        <v>3</v>
      </c>
      <c r="E143" s="2105" t="s">
        <v>415</v>
      </c>
      <c r="F143" s="2106"/>
      <c r="G143" s="2106"/>
      <c r="H143" s="2106"/>
      <c r="I143" s="2106"/>
      <c r="J143" s="2106"/>
      <c r="K143" s="2106"/>
      <c r="L143" s="2106"/>
      <c r="M143" s="2107"/>
      <c r="N143" s="22"/>
      <c r="P143" s="29"/>
      <c r="R143" s="29"/>
      <c r="S143" s="29"/>
      <c r="T143" s="29"/>
      <c r="U143" s="29"/>
      <c r="V143" s="29"/>
      <c r="W143" s="29"/>
      <c r="X143" s="29"/>
      <c r="Y143" s="29"/>
    </row>
    <row r="144" spans="1:26" ht="16.5" customHeight="1">
      <c r="A144" s="2"/>
      <c r="B144" s="137"/>
      <c r="C144" s="504"/>
      <c r="D144" s="25" t="str">
        <f>IF(D143=$Q$14,$R$9,IF(ROUNDDOWN(D143,0)=$Q$9,$S$9,$R$9))</f>
        <v>　レベル　1</v>
      </c>
      <c r="E144" s="439" t="s">
        <v>332</v>
      </c>
      <c r="F144" s="39"/>
      <c r="G144" s="39"/>
      <c r="H144" s="39"/>
      <c r="I144" s="39"/>
      <c r="J144" s="39"/>
      <c r="K144" s="39"/>
      <c r="L144" s="802"/>
      <c r="M144" s="803"/>
      <c r="N144" s="22"/>
      <c r="P144" s="491">
        <f>$Q$9</f>
        <v>1</v>
      </c>
      <c r="R144" s="29"/>
      <c r="S144" s="29"/>
      <c r="T144" s="29"/>
      <c r="U144" s="491">
        <f>$Q$9</f>
        <v>1</v>
      </c>
      <c r="V144" s="29"/>
      <c r="W144" s="29"/>
      <c r="X144" s="29"/>
      <c r="Y144" s="29"/>
    </row>
    <row r="145" spans="1:26" ht="16.5" customHeight="1">
      <c r="A145" s="2"/>
      <c r="B145" s="137"/>
      <c r="C145" s="504"/>
      <c r="D145" s="28" t="str">
        <f>IF(D143=$Q$14,$R$10,IF(ROUNDDOWN(D143,0)=$Q$10,$S$10,$R$10))</f>
        <v>　レベル　2</v>
      </c>
      <c r="E145" s="439" t="s">
        <v>333</v>
      </c>
      <c r="F145" s="2635"/>
      <c r="G145" s="2635"/>
      <c r="H145" s="2635"/>
      <c r="I145" s="2635"/>
      <c r="J145" s="2635"/>
      <c r="K145" s="2635"/>
      <c r="L145" s="798"/>
      <c r="M145" s="799"/>
      <c r="N145" s="22"/>
      <c r="P145" s="491">
        <f>$Q$10</f>
        <v>2</v>
      </c>
      <c r="R145" s="29"/>
      <c r="S145" s="29"/>
      <c r="T145" s="29"/>
      <c r="U145" s="491">
        <f>$Q$10</f>
        <v>2</v>
      </c>
      <c r="V145" s="29"/>
      <c r="W145" s="29"/>
      <c r="X145" s="29"/>
      <c r="Y145" s="29"/>
      <c r="Z145" s="29"/>
    </row>
    <row r="146" spans="1:26" ht="16.5" customHeight="1">
      <c r="A146" s="2"/>
      <c r="B146" s="137"/>
      <c r="C146" s="504"/>
      <c r="D146" s="28" t="str">
        <f>IF(D143=$Q$14,$R$11,IF(ROUNDDOWN(D143,0)=$Q$11,$S$11,$R$11))</f>
        <v>■レベル　3</v>
      </c>
      <c r="E146" s="439" t="s">
        <v>334</v>
      </c>
      <c r="F146" s="489"/>
      <c r="G146" s="489"/>
      <c r="H146" s="489"/>
      <c r="I146" s="489"/>
      <c r="J146" s="489"/>
      <c r="K146" s="489"/>
      <c r="L146" s="798"/>
      <c r="M146" s="799"/>
      <c r="N146" s="22"/>
      <c r="P146" s="491">
        <f>$Q$11</f>
        <v>3</v>
      </c>
      <c r="R146" s="29"/>
      <c r="S146" s="29"/>
      <c r="T146" s="29"/>
      <c r="U146" s="491">
        <f>$Q$11</f>
        <v>3</v>
      </c>
      <c r="V146" s="29"/>
      <c r="W146" s="29"/>
      <c r="X146" s="29"/>
      <c r="Y146" s="29"/>
      <c r="Z146" s="29"/>
    </row>
    <row r="147" spans="1:26" ht="16.5" customHeight="1">
      <c r="A147" s="2"/>
      <c r="B147" s="137"/>
      <c r="C147" s="504"/>
      <c r="D147" s="28" t="str">
        <f>IF(D143=$Q$14,$R$12,IF(ROUNDDOWN(D143,0)=$Q$12,$S$12,$R$12))</f>
        <v>　レベル　4</v>
      </c>
      <c r="E147" s="451" t="s">
        <v>236</v>
      </c>
      <c r="F147" s="2630"/>
      <c r="G147" s="2630"/>
      <c r="H147" s="2630"/>
      <c r="I147" s="2630"/>
      <c r="J147" s="2630"/>
      <c r="K147" s="2630"/>
      <c r="L147" s="798"/>
      <c r="M147" s="799"/>
      <c r="N147" s="22"/>
      <c r="P147" s="491" t="s">
        <v>402</v>
      </c>
      <c r="R147" s="29"/>
      <c r="S147" s="29"/>
      <c r="T147" s="29"/>
      <c r="U147" s="491">
        <f>$Q$12</f>
        <v>4</v>
      </c>
      <c r="V147" s="29"/>
      <c r="W147" s="29"/>
      <c r="X147" s="29"/>
      <c r="Y147" s="29"/>
      <c r="Z147" s="29"/>
    </row>
    <row r="148" spans="1:26" ht="16.5" customHeight="1">
      <c r="A148" s="2"/>
      <c r="B148" s="137"/>
      <c r="C148" s="504"/>
      <c r="D148" s="26" t="str">
        <f>IF(D143=$Q$14,$R$13,IF(ROUNDDOWN(D143,0)=$Q$13,$S$13,$R$13))</f>
        <v>　レベル　5</v>
      </c>
      <c r="E148" s="473" t="s">
        <v>237</v>
      </c>
      <c r="F148" s="2632"/>
      <c r="G148" s="2632"/>
      <c r="H148" s="2632"/>
      <c r="I148" s="2632"/>
      <c r="J148" s="2632"/>
      <c r="K148" s="2632"/>
      <c r="L148" s="800"/>
      <c r="M148" s="801"/>
      <c r="N148" s="22"/>
      <c r="P148" s="491" t="s">
        <v>402</v>
      </c>
      <c r="R148" s="29"/>
      <c r="S148" s="29"/>
      <c r="T148" s="29"/>
      <c r="U148" s="491">
        <f>$Q$13</f>
        <v>5</v>
      </c>
      <c r="V148" s="29"/>
      <c r="W148" s="29"/>
      <c r="X148" s="29"/>
      <c r="Y148" s="29"/>
      <c r="Z148" s="29"/>
    </row>
    <row r="149" spans="1:26" ht="16.5" customHeight="1" thickBot="1">
      <c r="A149" s="2"/>
      <c r="B149" s="137"/>
      <c r="C149" s="504"/>
      <c r="D149" s="506"/>
      <c r="E149" s="874" t="s">
        <v>376</v>
      </c>
      <c r="F149" s="362"/>
      <c r="G149" s="362"/>
      <c r="H149" s="362"/>
      <c r="I149" s="500"/>
      <c r="J149" s="500"/>
      <c r="K149" s="500"/>
      <c r="L149" s="500"/>
      <c r="M149" s="500"/>
      <c r="N149" s="22"/>
      <c r="P149" s="491" t="s">
        <v>68</v>
      </c>
      <c r="Q149" s="284" t="s">
        <v>87</v>
      </c>
      <c r="R149" s="29"/>
      <c r="S149" s="29"/>
      <c r="T149" s="29"/>
      <c r="U149" s="491" t="str">
        <f>$Q$14</f>
        <v>対象外</v>
      </c>
      <c r="V149" s="29"/>
      <c r="W149" s="29"/>
      <c r="X149" s="29"/>
      <c r="Y149" s="29"/>
      <c r="Z149" s="29"/>
    </row>
    <row r="150" spans="1:26" ht="24" customHeight="1" thickBot="1">
      <c r="A150" s="2"/>
      <c r="B150" s="137"/>
      <c r="C150" s="504"/>
      <c r="D150" s="506"/>
      <c r="E150" s="649" t="s">
        <v>687</v>
      </c>
      <c r="F150" s="429">
        <v>1</v>
      </c>
      <c r="G150" s="2937" t="s">
        <v>408</v>
      </c>
      <c r="H150" s="2938"/>
      <c r="I150" s="2938"/>
      <c r="J150" s="2938"/>
      <c r="K150" s="2938"/>
      <c r="L150" s="2938"/>
      <c r="M150" s="2939"/>
      <c r="N150" s="22"/>
      <c r="P150" s="511"/>
      <c r="R150" s="29"/>
      <c r="S150" s="29"/>
      <c r="T150" s="29"/>
      <c r="U150" s="511"/>
      <c r="V150" s="29"/>
      <c r="W150" s="29"/>
      <c r="X150" s="29"/>
      <c r="Y150" s="29"/>
      <c r="Z150" s="29"/>
    </row>
    <row r="151" spans="1:26" ht="24" customHeight="1" thickBot="1">
      <c r="A151" s="2"/>
      <c r="B151" s="137"/>
      <c r="C151" s="504"/>
      <c r="D151" s="506"/>
      <c r="E151" s="649" t="s">
        <v>687</v>
      </c>
      <c r="F151" s="650">
        <v>2</v>
      </c>
      <c r="G151" s="2963" t="s">
        <v>2150</v>
      </c>
      <c r="H151" s="2964"/>
      <c r="I151" s="2964"/>
      <c r="J151" s="2964"/>
      <c r="K151" s="2964"/>
      <c r="L151" s="2964"/>
      <c r="M151" s="2965"/>
      <c r="N151" s="22"/>
      <c r="P151" s="511"/>
      <c r="R151" s="29"/>
      <c r="S151" s="29"/>
      <c r="T151" s="29"/>
      <c r="U151" s="511"/>
      <c r="V151" s="29"/>
      <c r="W151" s="29"/>
      <c r="X151" s="29"/>
      <c r="Y151" s="29"/>
      <c r="Z151" s="29"/>
    </row>
    <row r="152" spans="1:26" ht="16.5" customHeight="1">
      <c r="A152" s="2"/>
      <c r="B152" s="137"/>
      <c r="C152" s="504"/>
      <c r="D152" s="506"/>
      <c r="E152" s="661"/>
      <c r="F152" s="444"/>
      <c r="G152" s="444"/>
      <c r="H152" s="444"/>
      <c r="I152" s="444"/>
      <c r="J152" s="444"/>
      <c r="K152" s="444" t="s">
        <v>400</v>
      </c>
      <c r="L152" s="873">
        <f>IF(COUNTIF(E150:E151,$U$4)&gt;1,2,IF(COUNTIF(E150:E151,$U$4)&gt;0,1,0))</f>
        <v>2</v>
      </c>
      <c r="M152" s="443" t="s">
        <v>401</v>
      </c>
      <c r="N152" s="22"/>
      <c r="P152" s="511"/>
      <c r="R152" s="29"/>
      <c r="S152" s="29"/>
      <c r="T152" s="29"/>
      <c r="U152" s="511"/>
      <c r="V152" s="29"/>
      <c r="W152" s="29"/>
      <c r="X152" s="29"/>
      <c r="Y152" s="29"/>
      <c r="Z152" s="29"/>
    </row>
    <row r="153" spans="1:26" s="29" customFormat="1" ht="8.25" customHeight="1">
      <c r="A153" s="19"/>
      <c r="B153" s="137"/>
      <c r="C153" s="504"/>
      <c r="D153" s="270"/>
      <c r="E153" s="270"/>
      <c r="F153" s="2"/>
      <c r="G153" s="2"/>
      <c r="H153" s="2"/>
      <c r="I153" s="2"/>
      <c r="J153" s="2"/>
      <c r="K153" s="2"/>
      <c r="L153" s="2"/>
      <c r="M153" s="2"/>
      <c r="N153" s="22"/>
      <c r="P153" s="511"/>
      <c r="R153" s="4"/>
      <c r="S153" s="4"/>
      <c r="T153" s="113"/>
    </row>
    <row r="154" spans="1:26" s="29" customFormat="1" ht="21" customHeight="1">
      <c r="A154" s="19"/>
      <c r="B154" s="137"/>
      <c r="C154" s="504"/>
      <c r="E154" s="646" t="s">
        <v>3</v>
      </c>
      <c r="F154" s="647"/>
      <c r="G154" s="2441"/>
      <c r="H154" s="2442"/>
      <c r="I154" s="990"/>
      <c r="J154" s="990"/>
      <c r="K154" s="990"/>
      <c r="L154" s="990"/>
      <c r="M154" s="991"/>
      <c r="N154" s="22"/>
      <c r="P154" s="511"/>
      <c r="Q154" s="284"/>
      <c r="R154" s="4"/>
      <c r="S154" s="4"/>
      <c r="T154" s="113"/>
      <c r="U154" s="511"/>
      <c r="V154" s="113"/>
      <c r="W154" s="113"/>
      <c r="X154" s="113"/>
      <c r="Y154" s="113"/>
    </row>
    <row r="155" spans="1:26" ht="9" customHeight="1">
      <c r="A155" s="2"/>
      <c r="B155" s="137"/>
      <c r="C155" s="504"/>
      <c r="D155" s="506"/>
      <c r="E155" s="362"/>
      <c r="F155" s="362"/>
      <c r="G155" s="362"/>
      <c r="H155" s="362"/>
      <c r="I155" s="500"/>
      <c r="J155" s="500"/>
      <c r="K155" s="500"/>
      <c r="L155" s="500"/>
      <c r="M155" s="500"/>
      <c r="N155" s="22"/>
      <c r="P155" s="511"/>
      <c r="R155" s="29"/>
      <c r="S155" s="29"/>
      <c r="T155" s="29"/>
      <c r="U155" s="511"/>
      <c r="V155" s="29"/>
      <c r="W155" s="29"/>
      <c r="X155" s="29"/>
      <c r="Y155" s="29"/>
      <c r="Z155" s="29"/>
    </row>
    <row r="156" spans="1:26" ht="19.5" customHeight="1" thickBot="1">
      <c r="A156" s="2"/>
      <c r="B156" s="2124">
        <v>3.2</v>
      </c>
      <c r="C156" s="285" t="s">
        <v>1656</v>
      </c>
      <c r="D156" s="4"/>
      <c r="E156" s="21"/>
      <c r="F156" s="21"/>
      <c r="G156" s="21"/>
      <c r="H156" s="21"/>
      <c r="I156" s="500"/>
      <c r="J156" s="500"/>
      <c r="K156" s="500"/>
      <c r="L156" s="500"/>
      <c r="M156" s="500"/>
      <c r="N156" s="22"/>
      <c r="O156" s="123"/>
      <c r="P156" s="123"/>
      <c r="Q156" s="123"/>
      <c r="R156" s="265"/>
      <c r="S156" s="265"/>
      <c r="T156" s="265"/>
    </row>
    <row r="157" spans="1:26" ht="16.5" customHeight="1" thickBot="1">
      <c r="A157" s="2"/>
      <c r="B157" s="4"/>
      <c r="C157" s="4"/>
      <c r="D157" s="866">
        <f>IF(D158+L169&lt;=5,D158+L169,5)</f>
        <v>5</v>
      </c>
      <c r="E157" s="361"/>
      <c r="F157" s="125"/>
      <c r="I157" s="500"/>
      <c r="J157" s="500"/>
      <c r="K157" s="500"/>
      <c r="L157" s="148" t="s">
        <v>2</v>
      </c>
      <c r="M157" s="145">
        <f>重み!M27</f>
        <v>0.5</v>
      </c>
      <c r="N157" s="22"/>
      <c r="O157" s="29" t="str">
        <f>C156</f>
        <v>適切な照明計画</v>
      </c>
      <c r="P157" s="29">
        <f>D156</f>
        <v>0</v>
      </c>
      <c r="Q157" s="29">
        <f t="shared" ref="Q157" si="6">E157</f>
        <v>0</v>
      </c>
      <c r="R157" s="29">
        <f t="shared" ref="R157" si="7">F157</f>
        <v>0</v>
      </c>
      <c r="S157" s="29">
        <f t="shared" ref="S157" si="8">G157</f>
        <v>0</v>
      </c>
      <c r="T157" s="29">
        <f t="shared" ref="T157" si="9">H157</f>
        <v>0</v>
      </c>
      <c r="U157" s="29">
        <f t="shared" ref="U157" si="10">I157</f>
        <v>0</v>
      </c>
      <c r="V157" s="29">
        <f t="shared" ref="V157" si="11">J157</f>
        <v>0</v>
      </c>
      <c r="W157" s="29">
        <f t="shared" ref="W157" si="12">K157</f>
        <v>0</v>
      </c>
      <c r="X157" s="29" t="str">
        <f t="shared" ref="X157" si="13">L157</f>
        <v>重み係数＝</v>
      </c>
      <c r="Y157" s="29">
        <f t="shared" ref="Y157" si="14">M157</f>
        <v>0.5</v>
      </c>
    </row>
    <row r="158" spans="1:26" ht="16.5" customHeight="1" thickBot="1">
      <c r="A158" s="2"/>
      <c r="B158" s="137"/>
      <c r="C158" s="512"/>
      <c r="D158" s="864">
        <v>3</v>
      </c>
      <c r="E158" s="2105" t="s">
        <v>415</v>
      </c>
      <c r="F158" s="2106"/>
      <c r="G158" s="2106"/>
      <c r="H158" s="2106"/>
      <c r="I158" s="2106"/>
      <c r="J158" s="2106"/>
      <c r="K158" s="2106"/>
      <c r="L158" s="2106"/>
      <c r="M158" s="2107"/>
      <c r="N158" s="22"/>
      <c r="P158" s="29"/>
      <c r="R158" s="29"/>
      <c r="S158" s="29"/>
      <c r="T158" s="29"/>
      <c r="U158" s="29"/>
      <c r="V158" s="29"/>
      <c r="W158" s="29"/>
      <c r="X158" s="29"/>
      <c r="Y158" s="29"/>
    </row>
    <row r="159" spans="1:26" ht="16.5" customHeight="1">
      <c r="A159" s="2"/>
      <c r="B159" s="137"/>
      <c r="C159" s="504"/>
      <c r="D159" s="25" t="str">
        <f>IF(D158=$Q$14,$R$9,IF(ROUNDDOWN(D158,0)=$Q$9,$S$9,$R$9))</f>
        <v>　レベル　1</v>
      </c>
      <c r="E159" s="439" t="s">
        <v>1657</v>
      </c>
      <c r="F159" s="39"/>
      <c r="G159" s="39"/>
      <c r="H159" s="39"/>
      <c r="I159" s="39"/>
      <c r="J159" s="39"/>
      <c r="K159" s="39"/>
      <c r="L159" s="802"/>
      <c r="M159" s="803"/>
      <c r="N159" s="22"/>
      <c r="P159" s="491" t="s">
        <v>55</v>
      </c>
      <c r="R159" s="29"/>
      <c r="S159" s="29"/>
      <c r="T159" s="29"/>
      <c r="U159" s="491">
        <f>$Q$9</f>
        <v>1</v>
      </c>
      <c r="V159" s="29"/>
      <c r="W159" s="29"/>
      <c r="X159" s="29"/>
      <c r="Y159" s="29"/>
    </row>
    <row r="160" spans="1:26" ht="16.5" customHeight="1">
      <c r="A160" s="2"/>
      <c r="B160" s="137"/>
      <c r="C160" s="504"/>
      <c r="D160" s="28" t="str">
        <f>IF(D158=$Q$14,$R$10,IF(ROUNDDOWN(D158,0)=$Q$10,$S$10,$R$10))</f>
        <v>　レベル　2</v>
      </c>
      <c r="E160" s="439" t="s">
        <v>1658</v>
      </c>
      <c r="F160" s="2635"/>
      <c r="G160" s="2635"/>
      <c r="H160" s="2635"/>
      <c r="I160" s="2635"/>
      <c r="J160" s="2635"/>
      <c r="K160" s="2635"/>
      <c r="L160" s="798"/>
      <c r="M160" s="799"/>
      <c r="N160" s="22"/>
      <c r="P160" s="491">
        <f>$Q$10</f>
        <v>2</v>
      </c>
      <c r="R160" s="29"/>
      <c r="S160" s="29"/>
      <c r="T160" s="29"/>
      <c r="U160" s="491">
        <f>$Q$10</f>
        <v>2</v>
      </c>
      <c r="V160" s="29"/>
      <c r="W160" s="29"/>
      <c r="X160" s="29"/>
      <c r="Y160" s="29"/>
      <c r="Z160" s="29"/>
    </row>
    <row r="161" spans="1:26" ht="16.5" customHeight="1">
      <c r="A161" s="2"/>
      <c r="B161" s="137"/>
      <c r="C161" s="504"/>
      <c r="D161" s="28" t="str">
        <f>IF(D158=$Q$14,$R$11,IF(ROUNDDOWN(D158,0)=$Q$11,$S$11,$R$11))</f>
        <v>■レベル　3</v>
      </c>
      <c r="E161" s="439" t="s">
        <v>1659</v>
      </c>
      <c r="F161" s="489"/>
      <c r="G161" s="489"/>
      <c r="H161" s="489"/>
      <c r="I161" s="489"/>
      <c r="J161" s="489"/>
      <c r="K161" s="489"/>
      <c r="L161" s="798"/>
      <c r="M161" s="799"/>
      <c r="N161" s="22"/>
      <c r="P161" s="491">
        <f>$Q$11</f>
        <v>3</v>
      </c>
      <c r="R161" s="29"/>
      <c r="S161" s="29"/>
      <c r="T161" s="29"/>
      <c r="U161" s="491">
        <f>$Q$11</f>
        <v>3</v>
      </c>
      <c r="V161" s="29"/>
      <c r="W161" s="29"/>
      <c r="X161" s="29"/>
      <c r="Y161" s="29"/>
      <c r="Z161" s="29"/>
    </row>
    <row r="162" spans="1:26" ht="16.5" customHeight="1">
      <c r="A162" s="2"/>
      <c r="B162" s="137"/>
      <c r="C162" s="504"/>
      <c r="D162" s="28" t="str">
        <f>IF(D158=$Q$14,$R$12,IF(ROUNDDOWN(D158,0)=$Q$12,$S$12,$R$12))</f>
        <v>　レベル　4</v>
      </c>
      <c r="E162" s="451" t="s">
        <v>1660</v>
      </c>
      <c r="F162" s="2630"/>
      <c r="G162" s="2630"/>
      <c r="H162" s="2630"/>
      <c r="I162" s="2630"/>
      <c r="J162" s="2630"/>
      <c r="K162" s="2630"/>
      <c r="L162" s="798"/>
      <c r="M162" s="799"/>
      <c r="N162" s="22"/>
      <c r="P162" s="491" t="s">
        <v>55</v>
      </c>
      <c r="R162" s="29"/>
      <c r="S162" s="29"/>
      <c r="T162" s="29"/>
      <c r="U162" s="491">
        <f>$Q$12</f>
        <v>4</v>
      </c>
      <c r="V162" s="29"/>
      <c r="W162" s="29"/>
      <c r="X162" s="29"/>
      <c r="Y162" s="29"/>
      <c r="Z162" s="29"/>
    </row>
    <row r="163" spans="1:26" ht="16.5" customHeight="1">
      <c r="A163" s="2"/>
      <c r="B163" s="137"/>
      <c r="C163" s="504"/>
      <c r="D163" s="26" t="str">
        <f>IF(D158=$Q$14,$R$13,IF(ROUNDDOWN(D158,0)=$Q$13,$S$13,$R$13))</f>
        <v>　レベル　5</v>
      </c>
      <c r="E163" s="473" t="s">
        <v>1661</v>
      </c>
      <c r="F163" s="2632"/>
      <c r="G163" s="2632"/>
      <c r="H163" s="2632"/>
      <c r="I163" s="2632"/>
      <c r="J163" s="2632"/>
      <c r="K163" s="2632"/>
      <c r="L163" s="800"/>
      <c r="M163" s="801"/>
      <c r="N163" s="22"/>
      <c r="P163" s="491" t="s">
        <v>55</v>
      </c>
      <c r="R163" s="29"/>
      <c r="S163" s="29"/>
      <c r="T163" s="29"/>
      <c r="U163" s="491">
        <f>$Q$13</f>
        <v>5</v>
      </c>
      <c r="V163" s="29"/>
      <c r="W163" s="29"/>
      <c r="X163" s="29"/>
      <c r="Y163" s="29"/>
      <c r="Z163" s="29"/>
    </row>
    <row r="164" spans="1:26" ht="16.5" customHeight="1">
      <c r="A164" s="2"/>
      <c r="B164" s="137"/>
      <c r="C164" s="504"/>
      <c r="D164" s="506"/>
      <c r="E164" s="1325" t="s">
        <v>423</v>
      </c>
      <c r="F164" s="362"/>
      <c r="G164" s="362"/>
      <c r="H164" s="362"/>
      <c r="I164" s="500"/>
      <c r="J164" s="500"/>
      <c r="K164" s="500"/>
      <c r="L164" s="500"/>
      <c r="M164" s="500"/>
      <c r="N164" s="22"/>
      <c r="P164" s="2143" t="s">
        <v>55</v>
      </c>
      <c r="Q164" s="284" t="s">
        <v>87</v>
      </c>
      <c r="R164" s="29"/>
      <c r="S164" s="29"/>
      <c r="T164" s="29"/>
      <c r="U164" s="491" t="str">
        <f>$Q$14</f>
        <v>対象外</v>
      </c>
      <c r="V164" s="29"/>
      <c r="W164" s="29"/>
      <c r="X164" s="29"/>
      <c r="Y164" s="29"/>
      <c r="Z164" s="29"/>
    </row>
    <row r="165" spans="1:26" ht="16.5" customHeight="1" thickBot="1">
      <c r="A165" s="2"/>
      <c r="B165" s="137"/>
      <c r="C165" s="504"/>
      <c r="D165" s="506"/>
      <c r="E165" s="119" t="s">
        <v>351</v>
      </c>
      <c r="F165" s="428" t="s">
        <v>78</v>
      </c>
      <c r="G165" s="2154" t="s">
        <v>80</v>
      </c>
      <c r="H165" s="447"/>
      <c r="I165" s="2154"/>
      <c r="J165" s="447"/>
      <c r="K165" s="447"/>
      <c r="L165" s="447"/>
      <c r="M165" s="448"/>
      <c r="N165" s="22"/>
      <c r="P165" s="2156"/>
      <c r="Q165" s="284"/>
      <c r="R165" s="29"/>
      <c r="S165" s="29"/>
      <c r="T165" s="29"/>
      <c r="U165" s="511"/>
      <c r="V165" s="29"/>
      <c r="W165" s="29"/>
      <c r="X165" s="29"/>
      <c r="Y165" s="29"/>
      <c r="Z165" s="29"/>
    </row>
    <row r="166" spans="1:26" ht="24" customHeight="1" thickBot="1">
      <c r="A166" s="2"/>
      <c r="B166" s="137"/>
      <c r="C166" s="504"/>
      <c r="D166" s="506"/>
      <c r="E166" s="649" t="s">
        <v>687</v>
      </c>
      <c r="F166" s="2640" t="s">
        <v>1662</v>
      </c>
      <c r="G166" s="2943" t="s">
        <v>1665</v>
      </c>
      <c r="H166" s="2966"/>
      <c r="I166" s="2966"/>
      <c r="J166" s="2966"/>
      <c r="K166" s="2966"/>
      <c r="L166" s="2966"/>
      <c r="M166" s="2944"/>
      <c r="N166" s="22"/>
      <c r="P166" s="511"/>
      <c r="R166" s="29"/>
      <c r="S166" s="29"/>
      <c r="T166" s="29"/>
      <c r="U166" s="511"/>
      <c r="V166" s="29"/>
      <c r="W166" s="29"/>
      <c r="X166" s="29"/>
      <c r="Y166" s="29"/>
      <c r="Z166" s="29"/>
    </row>
    <row r="167" spans="1:26" ht="24" customHeight="1" thickBot="1">
      <c r="A167" s="2"/>
      <c r="B167" s="137"/>
      <c r="C167" s="504"/>
      <c r="D167" s="506"/>
      <c r="E167" s="649" t="s">
        <v>687</v>
      </c>
      <c r="F167" s="2641" t="s">
        <v>1663</v>
      </c>
      <c r="G167" s="2967" t="s">
        <v>1666</v>
      </c>
      <c r="H167" s="2968"/>
      <c r="I167" s="2968"/>
      <c r="J167" s="2968"/>
      <c r="K167" s="2968"/>
      <c r="L167" s="2968"/>
      <c r="M167" s="2969"/>
      <c r="N167" s="22"/>
      <c r="P167" s="511"/>
      <c r="R167" s="29"/>
      <c r="S167" s="29"/>
      <c r="T167" s="29"/>
      <c r="U167" s="511"/>
      <c r="V167" s="29"/>
      <c r="W167" s="29"/>
      <c r="X167" s="29"/>
      <c r="Y167" s="29"/>
      <c r="Z167" s="29"/>
    </row>
    <row r="168" spans="1:26" ht="24" customHeight="1" thickBot="1">
      <c r="A168" s="2"/>
      <c r="B168" s="137"/>
      <c r="C168" s="504"/>
      <c r="D168" s="506"/>
      <c r="E168" s="649"/>
      <c r="F168" s="2642" t="s">
        <v>1664</v>
      </c>
      <c r="G168" s="2947" t="s">
        <v>1667</v>
      </c>
      <c r="H168" s="2970"/>
      <c r="I168" s="2970"/>
      <c r="J168" s="2970"/>
      <c r="K168" s="2970"/>
      <c r="L168" s="2970"/>
      <c r="M168" s="2948"/>
      <c r="N168" s="22"/>
      <c r="P168" s="511"/>
      <c r="R168" s="29"/>
      <c r="S168" s="29"/>
      <c r="T168" s="29"/>
      <c r="U168" s="511"/>
      <c r="V168" s="29"/>
      <c r="W168" s="29"/>
      <c r="X168" s="29"/>
      <c r="Y168" s="29"/>
      <c r="Z168" s="29"/>
    </row>
    <row r="169" spans="1:26" ht="16.5" customHeight="1">
      <c r="A169" s="2"/>
      <c r="B169" s="137"/>
      <c r="C169" s="504"/>
      <c r="D169" s="506"/>
      <c r="E169" s="661"/>
      <c r="F169" s="444"/>
      <c r="G169" s="444"/>
      <c r="H169" s="444"/>
      <c r="I169" s="444"/>
      <c r="J169" s="444"/>
      <c r="K169" s="444" t="s">
        <v>400</v>
      </c>
      <c r="L169" s="873">
        <f>IF(D158=2,0,IF(COUNTIF(E166:E168,$U$4)&gt;1,2,IF(COUNTIF(E166:E168,$U$4)&gt;0,1,0)))</f>
        <v>2</v>
      </c>
      <c r="M169" s="443" t="s">
        <v>401</v>
      </c>
      <c r="N169" s="22"/>
      <c r="P169" s="511"/>
      <c r="R169" s="29"/>
      <c r="S169" s="29"/>
      <c r="T169" s="29"/>
      <c r="U169" s="511"/>
      <c r="V169" s="29"/>
      <c r="W169" s="29"/>
      <c r="X169" s="29"/>
      <c r="Y169" s="29"/>
      <c r="Z169" s="29"/>
    </row>
    <row r="170" spans="1:26" s="29" customFormat="1" ht="8.25" customHeight="1">
      <c r="A170" s="19"/>
      <c r="B170" s="137"/>
      <c r="C170" s="504"/>
      <c r="D170" s="270"/>
      <c r="E170" s="270"/>
      <c r="F170" s="2"/>
      <c r="G170" s="2"/>
      <c r="H170" s="2"/>
      <c r="I170" s="2"/>
      <c r="J170" s="2"/>
      <c r="K170" s="2"/>
      <c r="L170" s="2"/>
      <c r="M170" s="2"/>
      <c r="N170" s="22"/>
      <c r="P170" s="511"/>
      <c r="R170" s="4"/>
      <c r="S170" s="4"/>
      <c r="T170" s="113"/>
    </row>
    <row r="171" spans="1:26" s="29" customFormat="1" ht="21" customHeight="1">
      <c r="A171" s="19"/>
      <c r="B171" s="137"/>
      <c r="C171" s="504"/>
      <c r="E171" s="646" t="s">
        <v>3</v>
      </c>
      <c r="F171" s="647"/>
      <c r="G171" s="2441"/>
      <c r="H171" s="2442"/>
      <c r="I171" s="990"/>
      <c r="J171" s="990"/>
      <c r="K171" s="990"/>
      <c r="L171" s="990"/>
      <c r="M171" s="991"/>
      <c r="N171" s="22"/>
      <c r="P171" s="511"/>
      <c r="Q171" s="284"/>
      <c r="R171" s="4"/>
      <c r="S171" s="4"/>
      <c r="T171" s="113"/>
      <c r="U171" s="511"/>
      <c r="V171" s="113"/>
      <c r="W171" s="113"/>
      <c r="X171" s="113"/>
      <c r="Y171" s="113"/>
    </row>
    <row r="172" spans="1:26" ht="9" customHeight="1">
      <c r="A172" s="2"/>
      <c r="B172" s="137"/>
      <c r="C172" s="504"/>
      <c r="D172" s="506"/>
      <c r="E172" s="362"/>
      <c r="F172" s="362"/>
      <c r="G172" s="362"/>
      <c r="H172" s="362"/>
      <c r="I172" s="500"/>
      <c r="J172" s="500"/>
      <c r="K172" s="500"/>
      <c r="L172" s="500"/>
      <c r="M172" s="500"/>
      <c r="N172" s="22"/>
      <c r="P172" s="511"/>
      <c r="R172" s="29"/>
      <c r="S172" s="29"/>
      <c r="T172" s="29"/>
      <c r="U172" s="511"/>
      <c r="V172" s="29"/>
      <c r="W172" s="29"/>
      <c r="X172" s="29"/>
      <c r="Y172" s="29"/>
      <c r="Z172" s="29"/>
    </row>
    <row r="173" spans="1:26">
      <c r="A173" s="2"/>
      <c r="B173" s="513">
        <v>4</v>
      </c>
      <c r="C173" s="23" t="s">
        <v>513</v>
      </c>
      <c r="D173" s="23"/>
      <c r="E173" s="21"/>
      <c r="F173" s="21"/>
      <c r="G173" s="21"/>
      <c r="H173" s="21"/>
      <c r="I173" s="500"/>
      <c r="J173" s="500"/>
      <c r="K173" s="500"/>
      <c r="L173" s="500"/>
      <c r="M173" s="500"/>
      <c r="N173" s="22"/>
      <c r="O173" s="123"/>
      <c r="P173" s="123"/>
      <c r="Q173" s="123"/>
      <c r="R173" s="265"/>
      <c r="S173" s="265"/>
      <c r="T173" s="265"/>
    </row>
    <row r="174" spans="1:26" hidden="1">
      <c r="A174" s="2"/>
      <c r="B174" s="2504">
        <v>4.0999999999999996</v>
      </c>
      <c r="C174" s="285" t="s">
        <v>1940</v>
      </c>
      <c r="D174" s="4"/>
      <c r="E174" s="21"/>
      <c r="F174" s="21"/>
      <c r="G174" s="21"/>
      <c r="H174" s="21"/>
      <c r="I174" s="500"/>
      <c r="J174" s="500"/>
      <c r="K174" s="500"/>
      <c r="L174" s="500"/>
      <c r="M174" s="500"/>
      <c r="N174" s="22"/>
      <c r="O174" s="123"/>
      <c r="P174" s="123"/>
      <c r="Q174" s="123"/>
      <c r="R174" s="265"/>
      <c r="S174" s="265"/>
      <c r="T174" s="265"/>
    </row>
    <row r="175" spans="1:26" ht="16.2" customHeight="1" thickBot="1">
      <c r="A175" s="2"/>
      <c r="B175" s="137"/>
      <c r="C175" s="504"/>
      <c r="D175" s="354"/>
      <c r="E175" s="361"/>
      <c r="F175" s="125"/>
      <c r="I175" s="500"/>
      <c r="J175" s="500"/>
      <c r="K175" s="500"/>
      <c r="L175" s="148" t="s">
        <v>2</v>
      </c>
      <c r="M175" s="145">
        <f>重み!M29</f>
        <v>1</v>
      </c>
      <c r="N175" s="22"/>
      <c r="O175" s="29" t="str">
        <f>C174</f>
        <v>開口部遮音性能</v>
      </c>
      <c r="P175" s="29">
        <f>D173</f>
        <v>0</v>
      </c>
      <c r="Q175" s="29">
        <f>E175</f>
        <v>0</v>
      </c>
      <c r="R175" s="29">
        <f t="shared" ref="R175:Y175" si="15">F175</f>
        <v>0</v>
      </c>
      <c r="S175" s="29">
        <f>G175</f>
        <v>0</v>
      </c>
      <c r="T175" s="29">
        <f t="shared" si="15"/>
        <v>0</v>
      </c>
      <c r="U175" s="29">
        <f t="shared" si="15"/>
        <v>0</v>
      </c>
      <c r="V175" s="29">
        <f t="shared" si="15"/>
        <v>0</v>
      </c>
      <c r="W175" s="29">
        <f t="shared" si="15"/>
        <v>0</v>
      </c>
      <c r="X175" s="29" t="str">
        <f t="shared" si="15"/>
        <v>重み係数＝</v>
      </c>
      <c r="Y175" s="29">
        <f t="shared" si="15"/>
        <v>1</v>
      </c>
    </row>
    <row r="176" spans="1:26" ht="16.5" customHeight="1" thickBot="1">
      <c r="A176" s="2"/>
      <c r="B176" s="137"/>
      <c r="C176" s="509"/>
      <c r="D176" s="864">
        <v>5</v>
      </c>
      <c r="E176" s="2934" t="s">
        <v>415</v>
      </c>
      <c r="F176" s="2935"/>
      <c r="G176" s="2935"/>
      <c r="H176" s="2935"/>
      <c r="I176" s="2935"/>
      <c r="J176" s="2935"/>
      <c r="K176" s="2935"/>
      <c r="L176" s="2935"/>
      <c r="M176" s="2936"/>
      <c r="N176" s="22"/>
      <c r="P176" s="29"/>
      <c r="R176" s="29"/>
      <c r="S176" s="29"/>
      <c r="T176" s="29"/>
      <c r="U176" s="29"/>
      <c r="V176" s="29"/>
      <c r="W176" s="29"/>
      <c r="X176" s="29"/>
      <c r="Y176" s="29"/>
    </row>
    <row r="177" spans="1:25" ht="16.5" customHeight="1">
      <c r="A177" s="2"/>
      <c r="B177" s="137"/>
      <c r="C177" s="510"/>
      <c r="D177" s="25" t="str">
        <f>IF(D176=$Q$14,$R$9,IF(AND($M$3=$Y$3,ROUNDDOWN(D176,0)=$Q$9),$S$9,$R$9))</f>
        <v>　レベル　1</v>
      </c>
      <c r="E177" s="438" t="s">
        <v>409</v>
      </c>
      <c r="F177" s="487"/>
      <c r="G177" s="487"/>
      <c r="H177" s="487"/>
      <c r="I177" s="487"/>
      <c r="J177" s="487"/>
      <c r="K177" s="487"/>
      <c r="L177" s="487"/>
      <c r="M177" s="488"/>
      <c r="N177" s="22"/>
      <c r="P177" s="491" t="s">
        <v>96</v>
      </c>
      <c r="Q177" s="29"/>
      <c r="R177" s="29"/>
      <c r="S177" s="29"/>
      <c r="T177" s="29"/>
      <c r="U177" s="491">
        <f>$Q$9</f>
        <v>1</v>
      </c>
      <c r="V177" s="29"/>
      <c r="W177" s="29"/>
      <c r="X177" s="29"/>
      <c r="Y177" s="29"/>
    </row>
    <row r="178" spans="1:25" ht="16.5" customHeight="1">
      <c r="A178" s="2"/>
      <c r="B178" s="137"/>
      <c r="C178" s="510"/>
      <c r="D178" s="28" t="str">
        <f>IF(D176=$Q$14,$R$10,IF(AND($M$3=$Y$3,ROUNDDOWN(D176,0)=$Q$10),$S$10,$R$10))</f>
        <v>　レベル　2</v>
      </c>
      <c r="E178" s="439" t="s">
        <v>409</v>
      </c>
      <c r="F178" s="489"/>
      <c r="G178" s="489"/>
      <c r="H178" s="489"/>
      <c r="I178" s="489"/>
      <c r="J178" s="489"/>
      <c r="K178" s="489"/>
      <c r="L178" s="489"/>
      <c r="M178" s="490"/>
      <c r="N178" s="22"/>
      <c r="P178" s="491" t="s">
        <v>833</v>
      </c>
      <c r="Q178" s="29"/>
      <c r="R178" s="29"/>
      <c r="S178" s="29"/>
      <c r="T178" s="29"/>
      <c r="U178" s="491">
        <f>$Q$10</f>
        <v>2</v>
      </c>
      <c r="V178" s="29"/>
      <c r="W178" s="29"/>
      <c r="X178" s="29"/>
      <c r="Y178" s="29"/>
    </row>
    <row r="179" spans="1:25" ht="16.5" customHeight="1">
      <c r="A179" s="2"/>
      <c r="B179" s="137"/>
      <c r="C179" s="510"/>
      <c r="D179" s="28" t="str">
        <f>IF(D176=$Q$14,$R$11,IF(AND($M$3=$Y$3,ROUNDDOWN(D176,0)=$Q$11),$S$11,$R$11))</f>
        <v>　レベル　3</v>
      </c>
      <c r="E179" s="439" t="s">
        <v>2110</v>
      </c>
      <c r="F179" s="489"/>
      <c r="G179" s="489"/>
      <c r="H179" s="489"/>
      <c r="I179" s="489"/>
      <c r="J179" s="489"/>
      <c r="K179" s="489"/>
      <c r="L179" s="489"/>
      <c r="M179" s="490"/>
      <c r="N179" s="22"/>
      <c r="P179" s="491">
        <f>$Q$11</f>
        <v>3</v>
      </c>
      <c r="Q179" s="29"/>
      <c r="R179" s="29"/>
      <c r="S179" s="29"/>
      <c r="T179" s="29"/>
      <c r="U179" s="491">
        <f>$Q$11</f>
        <v>3</v>
      </c>
      <c r="V179" s="29"/>
      <c r="W179" s="29"/>
      <c r="X179" s="29"/>
      <c r="Y179" s="29"/>
    </row>
    <row r="180" spans="1:25" ht="16.5" customHeight="1">
      <c r="A180" s="2"/>
      <c r="B180" s="137"/>
      <c r="C180" s="510"/>
      <c r="D180" s="28" t="str">
        <f>IF(D176=$Q$14,$R$12,IF(AND($M$3=$Y$3,ROUNDDOWN(D176,0)=$Q$12),$S$12,$R$12))</f>
        <v>　レベル　4</v>
      </c>
      <c r="E180" s="451" t="s">
        <v>2111</v>
      </c>
      <c r="F180" s="2630"/>
      <c r="G180" s="2630"/>
      <c r="H180" s="2630"/>
      <c r="I180" s="2630"/>
      <c r="J180" s="2630"/>
      <c r="K180" s="2630"/>
      <c r="L180" s="2630"/>
      <c r="M180" s="2631"/>
      <c r="N180" s="22"/>
      <c r="P180" s="491">
        <f>$Q$12</f>
        <v>4</v>
      </c>
      <c r="Q180" s="29"/>
      <c r="R180" s="29"/>
      <c r="S180" s="29"/>
      <c r="T180" s="29"/>
      <c r="U180" s="491">
        <f>$Q$12</f>
        <v>4</v>
      </c>
      <c r="V180" s="29"/>
      <c r="W180" s="29"/>
      <c r="X180" s="29"/>
      <c r="Y180" s="29"/>
    </row>
    <row r="181" spans="1:25" ht="16.5" customHeight="1">
      <c r="A181" s="2"/>
      <c r="B181" s="137"/>
      <c r="C181" s="510"/>
      <c r="D181" s="26" t="str">
        <f>IF(D176=$Q$14,$R$13,IF(AND($M$3=$Y$3,ROUNDDOWN(D176,0)=$Q$13),$S$13,$R$13))</f>
        <v>■レベル　5</v>
      </c>
      <c r="E181" s="473" t="s">
        <v>2112</v>
      </c>
      <c r="F181" s="2632"/>
      <c r="G181" s="2632"/>
      <c r="H181" s="2632"/>
      <c r="I181" s="2632"/>
      <c r="J181" s="2632"/>
      <c r="K181" s="2632"/>
      <c r="L181" s="2632"/>
      <c r="M181" s="2633"/>
      <c r="N181" s="22"/>
      <c r="P181" s="491">
        <f>$Q$13</f>
        <v>5</v>
      </c>
      <c r="Q181" s="29"/>
      <c r="R181" s="29"/>
      <c r="S181" s="29"/>
      <c r="T181" s="29"/>
      <c r="U181" s="491">
        <f>$Q$13</f>
        <v>5</v>
      </c>
      <c r="V181" s="29"/>
      <c r="W181" s="29"/>
      <c r="X181" s="29"/>
      <c r="Y181" s="29"/>
    </row>
    <row r="182" spans="1:25" s="29" customFormat="1" ht="8.25" customHeight="1">
      <c r="A182" s="19"/>
      <c r="B182" s="137"/>
      <c r="C182" s="504"/>
      <c r="D182" s="270"/>
      <c r="E182" s="270"/>
      <c r="F182" s="2"/>
      <c r="G182" s="2"/>
      <c r="H182" s="2"/>
      <c r="I182" s="2"/>
      <c r="J182" s="2"/>
      <c r="K182" s="2"/>
      <c r="L182" s="2"/>
      <c r="M182" s="2"/>
      <c r="N182" s="22"/>
      <c r="P182" s="491" t="s">
        <v>68</v>
      </c>
      <c r="Q182" s="284" t="s">
        <v>87</v>
      </c>
      <c r="R182" s="4"/>
      <c r="S182" s="4"/>
      <c r="T182" s="113"/>
    </row>
    <row r="183" spans="1:25" s="29" customFormat="1" ht="17.399999999999999" customHeight="1">
      <c r="A183" s="19"/>
      <c r="B183" s="137"/>
      <c r="C183" s="504"/>
      <c r="D183" s="270"/>
      <c r="E183" s="646" t="s">
        <v>3</v>
      </c>
      <c r="F183" s="647"/>
      <c r="G183" s="2441"/>
      <c r="H183" s="2442"/>
      <c r="I183" s="990"/>
      <c r="J183" s="990"/>
      <c r="K183" s="990"/>
      <c r="L183" s="990"/>
      <c r="M183" s="991"/>
      <c r="N183" s="22"/>
      <c r="P183" s="511"/>
      <c r="Q183" s="284"/>
      <c r="R183" s="4"/>
      <c r="S183" s="4"/>
      <c r="T183" s="113"/>
    </row>
    <row r="184" spans="1:25" s="29" customFormat="1" ht="21" hidden="1" customHeight="1">
      <c r="A184" s="19"/>
      <c r="B184" s="137"/>
      <c r="C184" s="504"/>
      <c r="E184" s="2576" t="s">
        <v>2113</v>
      </c>
      <c r="F184" s="647"/>
      <c r="G184" s="2441"/>
      <c r="H184" s="2442"/>
      <c r="I184" s="990"/>
      <c r="J184" s="990"/>
      <c r="K184" s="990"/>
      <c r="L184" s="990"/>
      <c r="M184" s="991"/>
      <c r="N184" s="22"/>
      <c r="P184" s="511"/>
      <c r="Q184" s="284"/>
      <c r="R184" s="4"/>
      <c r="S184" s="4"/>
      <c r="T184" s="113"/>
      <c r="U184" s="511"/>
      <c r="V184" s="113"/>
      <c r="W184" s="113"/>
      <c r="X184" s="113"/>
      <c r="Y184" s="113"/>
    </row>
    <row r="185" spans="1:25">
      <c r="I185" s="514"/>
      <c r="J185" s="514"/>
      <c r="K185" s="514"/>
      <c r="L185" s="514"/>
      <c r="M185" s="514"/>
    </row>
    <row r="186" spans="1:25" ht="19.5" hidden="1" customHeight="1">
      <c r="A186" s="2"/>
      <c r="B186" s="2504">
        <v>4.2</v>
      </c>
      <c r="C186" s="2505" t="s">
        <v>1941</v>
      </c>
      <c r="D186" s="2506"/>
      <c r="E186" s="2507"/>
      <c r="F186" s="21"/>
      <c r="G186" s="21"/>
      <c r="H186" s="21"/>
      <c r="I186" s="500"/>
      <c r="J186" s="500"/>
      <c r="K186" s="500"/>
      <c r="L186" s="500"/>
      <c r="M186" s="500"/>
      <c r="N186" s="22"/>
      <c r="O186" s="123"/>
      <c r="P186" s="123"/>
      <c r="Q186" s="123"/>
      <c r="R186" s="265"/>
      <c r="S186" s="265"/>
      <c r="T186" s="265"/>
    </row>
    <row r="187" spans="1:25" ht="16.5" hidden="1" customHeight="1" thickBot="1">
      <c r="A187" s="2"/>
      <c r="B187" s="137"/>
      <c r="C187" s="504"/>
      <c r="D187" s="354"/>
      <c r="E187" s="361"/>
      <c r="F187" s="125"/>
      <c r="I187" s="500"/>
      <c r="J187" s="500"/>
      <c r="K187" s="500"/>
      <c r="L187" s="148" t="s">
        <v>2</v>
      </c>
      <c r="M187" s="2508">
        <f>重み!M30</f>
        <v>0</v>
      </c>
      <c r="N187" s="22"/>
      <c r="O187" s="29" t="str">
        <f>C186</f>
        <v>界壁遮音性能</v>
      </c>
      <c r="P187" s="29">
        <f>D185</f>
        <v>0</v>
      </c>
      <c r="Q187" s="29">
        <f t="shared" ref="Q187" si="16">E187</f>
        <v>0</v>
      </c>
      <c r="R187" s="29">
        <f t="shared" ref="R187" si="17">F187</f>
        <v>0</v>
      </c>
      <c r="S187" s="29">
        <f t="shared" ref="S187" si="18">G187</f>
        <v>0</v>
      </c>
      <c r="T187" s="29">
        <f t="shared" ref="T187" si="19">H187</f>
        <v>0</v>
      </c>
      <c r="U187" s="29">
        <f t="shared" ref="U187" si="20">I187</f>
        <v>0</v>
      </c>
      <c r="V187" s="29">
        <f t="shared" ref="V187" si="21">J187</f>
        <v>0</v>
      </c>
      <c r="W187" s="29">
        <f t="shared" ref="W187" si="22">K187</f>
        <v>0</v>
      </c>
      <c r="X187" s="29" t="str">
        <f t="shared" ref="X187" si="23">L187</f>
        <v>重み係数＝</v>
      </c>
      <c r="Y187" s="29">
        <f t="shared" ref="Y187" si="24">M187</f>
        <v>0</v>
      </c>
    </row>
    <row r="188" spans="1:25" ht="16.5" hidden="1" customHeight="1" thickBot="1">
      <c r="A188" s="2"/>
      <c r="B188" s="137"/>
      <c r="C188" s="509"/>
      <c r="D188" s="864">
        <v>5</v>
      </c>
      <c r="E188" s="2934" t="s">
        <v>415</v>
      </c>
      <c r="F188" s="2935"/>
      <c r="G188" s="2935"/>
      <c r="H188" s="2935"/>
      <c r="I188" s="2935"/>
      <c r="J188" s="2935"/>
      <c r="K188" s="2935"/>
      <c r="L188" s="2935"/>
      <c r="M188" s="2936"/>
      <c r="N188" s="22"/>
      <c r="P188" s="29"/>
      <c r="R188" s="29"/>
      <c r="S188" s="29"/>
      <c r="T188" s="29"/>
      <c r="U188" s="29"/>
      <c r="V188" s="29"/>
      <c r="W188" s="29"/>
      <c r="X188" s="29"/>
      <c r="Y188" s="29"/>
    </row>
    <row r="189" spans="1:25" ht="16.5" hidden="1" customHeight="1">
      <c r="A189" s="2"/>
      <c r="B189" s="137"/>
      <c r="C189" s="510"/>
      <c r="D189" s="25" t="str">
        <f>IF(D188=$Q$14,$R$9,IF(AND($M$3=$Y$3,ROUNDDOWN(D188,0)=$Q$9),$S$9,$R$9))</f>
        <v>　レベル　1</v>
      </c>
      <c r="E189" s="2509" t="s">
        <v>1942</v>
      </c>
      <c r="F189" s="487"/>
      <c r="G189" s="487"/>
      <c r="H189" s="487"/>
      <c r="I189" s="487"/>
      <c r="J189" s="487"/>
      <c r="K189" s="487"/>
      <c r="L189" s="487"/>
      <c r="M189" s="488"/>
      <c r="N189" s="22"/>
      <c r="P189" s="491">
        <v>1</v>
      </c>
      <c r="Q189" s="29"/>
      <c r="R189" s="29"/>
      <c r="S189" s="29"/>
      <c r="T189" s="29"/>
      <c r="U189" s="491">
        <f>$Q$9</f>
        <v>1</v>
      </c>
      <c r="V189" s="29"/>
      <c r="W189" s="29"/>
      <c r="X189" s="29"/>
      <c r="Y189" s="29"/>
    </row>
    <row r="190" spans="1:25" ht="16.5" hidden="1" customHeight="1">
      <c r="A190" s="2"/>
      <c r="B190" s="137"/>
      <c r="C190" s="510"/>
      <c r="D190" s="28" t="str">
        <f>IF(D188=$Q$14,$R$10,IF(AND($M$3=$Y$3,ROUNDDOWN(D188,0)=$Q$10),$S$10,$R$10))</f>
        <v>　レベル　2</v>
      </c>
      <c r="E190" s="2495" t="s">
        <v>1943</v>
      </c>
      <c r="F190" s="489"/>
      <c r="G190" s="489"/>
      <c r="H190" s="489"/>
      <c r="I190" s="489"/>
      <c r="J190" s="489"/>
      <c r="K190" s="489"/>
      <c r="L190" s="489"/>
      <c r="M190" s="490"/>
      <c r="N190" s="22"/>
      <c r="P190" s="491" t="s">
        <v>55</v>
      </c>
      <c r="Q190" s="29"/>
      <c r="R190" s="29"/>
      <c r="S190" s="29"/>
      <c r="T190" s="29"/>
      <c r="U190" s="491">
        <f>$Q$10</f>
        <v>2</v>
      </c>
      <c r="V190" s="29"/>
      <c r="W190" s="29"/>
      <c r="X190" s="29"/>
      <c r="Y190" s="29"/>
    </row>
    <row r="191" spans="1:25" ht="16.5" hidden="1" customHeight="1">
      <c r="A191" s="2"/>
      <c r="B191" s="137"/>
      <c r="C191" s="510"/>
      <c r="D191" s="28" t="str">
        <f>IF(D188=$Q$14,$R$11,IF(AND($M$3=$Y$3,ROUNDDOWN(D188,0)=$Q$11),$S$11,$R$11))</f>
        <v>　レベル　3</v>
      </c>
      <c r="E191" s="2495" t="s">
        <v>1944</v>
      </c>
      <c r="F191" s="489"/>
      <c r="G191" s="489"/>
      <c r="H191" s="489"/>
      <c r="I191" s="489"/>
      <c r="J191" s="489"/>
      <c r="K191" s="489"/>
      <c r="L191" s="489"/>
      <c r="M191" s="490"/>
      <c r="N191" s="22"/>
      <c r="P191" s="491">
        <f>$Q$11</f>
        <v>3</v>
      </c>
      <c r="Q191" s="29"/>
      <c r="R191" s="29"/>
      <c r="S191" s="29"/>
      <c r="T191" s="29"/>
      <c r="U191" s="491">
        <f>$Q$11</f>
        <v>3</v>
      </c>
      <c r="V191" s="29"/>
      <c r="W191" s="29"/>
      <c r="X191" s="29"/>
      <c r="Y191" s="29"/>
    </row>
    <row r="192" spans="1:25" ht="16.5" hidden="1" customHeight="1">
      <c r="A192" s="2"/>
      <c r="B192" s="137"/>
      <c r="C192" s="510"/>
      <c r="D192" s="28" t="str">
        <f>IF(D188=$Q$14,$R$12,IF(AND($M$3=$Y$3,ROUNDDOWN(D188,0)=$Q$12),$S$12,$R$12))</f>
        <v>　レベル　4</v>
      </c>
      <c r="E192" s="2496" t="s">
        <v>1945</v>
      </c>
      <c r="F192" s="492"/>
      <c r="G192" s="492"/>
      <c r="H192" s="492"/>
      <c r="I192" s="492"/>
      <c r="J192" s="492"/>
      <c r="K192" s="492"/>
      <c r="L192" s="492"/>
      <c r="M192" s="493"/>
      <c r="N192" s="22"/>
      <c r="P192" s="491">
        <f>$Q$12</f>
        <v>4</v>
      </c>
      <c r="Q192" s="29"/>
      <c r="R192" s="29"/>
      <c r="S192" s="29"/>
      <c r="T192" s="29"/>
      <c r="U192" s="491">
        <f>$Q$12</f>
        <v>4</v>
      </c>
      <c r="V192" s="29"/>
      <c r="W192" s="29"/>
      <c r="X192" s="29"/>
      <c r="Y192" s="29"/>
    </row>
    <row r="193" spans="1:25" ht="16.5" hidden="1" customHeight="1">
      <c r="A193" s="2"/>
      <c r="B193" s="137"/>
      <c r="C193" s="510"/>
      <c r="D193" s="26" t="str">
        <f>IF(D188=$Q$14,$R$13,IF(AND($M$3=$Y$3,ROUNDDOWN(D188,0)=$Q$13),$S$13,$R$13))</f>
        <v>■レベル　5</v>
      </c>
      <c r="E193" s="2497" t="s">
        <v>1946</v>
      </c>
      <c r="F193" s="494"/>
      <c r="G193" s="494"/>
      <c r="H193" s="494"/>
      <c r="I193" s="494"/>
      <c r="J193" s="494"/>
      <c r="K193" s="494"/>
      <c r="L193" s="494"/>
      <c r="M193" s="495"/>
      <c r="N193" s="22"/>
      <c r="P193" s="491">
        <f>$Q$13</f>
        <v>5</v>
      </c>
      <c r="Q193" s="29"/>
      <c r="R193" s="29"/>
      <c r="S193" s="29"/>
      <c r="T193" s="29"/>
      <c r="U193" s="491">
        <f>$Q$13</f>
        <v>5</v>
      </c>
      <c r="V193" s="29"/>
      <c r="W193" s="29"/>
      <c r="X193" s="29"/>
      <c r="Y193" s="29"/>
    </row>
    <row r="194" spans="1:25" s="29" customFormat="1" ht="8.25" hidden="1" customHeight="1">
      <c r="A194" s="19"/>
      <c r="B194" s="137"/>
      <c r="C194" s="504"/>
      <c r="D194" s="270"/>
      <c r="E194" s="270"/>
      <c r="F194" s="2"/>
      <c r="G194" s="2"/>
      <c r="H194" s="2"/>
      <c r="I194" s="2"/>
      <c r="J194" s="2"/>
      <c r="K194" s="2"/>
      <c r="L194" s="2"/>
      <c r="M194" s="2"/>
      <c r="N194" s="22"/>
      <c r="P194" s="491" t="s">
        <v>55</v>
      </c>
      <c r="Q194" s="284" t="s">
        <v>87</v>
      </c>
      <c r="R194" s="4"/>
      <c r="S194" s="4"/>
      <c r="T194" s="113"/>
    </row>
    <row r="195" spans="1:25" s="29" customFormat="1" ht="21" hidden="1" customHeight="1">
      <c r="A195" s="19"/>
      <c r="B195" s="137"/>
      <c r="C195" s="504"/>
      <c r="E195" s="646" t="s">
        <v>3</v>
      </c>
      <c r="F195" s="647"/>
      <c r="G195" s="2441"/>
      <c r="H195" s="2442"/>
      <c r="I195" s="990"/>
      <c r="J195" s="990"/>
      <c r="K195" s="990"/>
      <c r="L195" s="990"/>
      <c r="M195" s="991"/>
      <c r="N195" s="22"/>
      <c r="P195" s="511"/>
      <c r="Q195" s="284"/>
      <c r="R195" s="4"/>
      <c r="S195" s="4"/>
      <c r="T195" s="113"/>
      <c r="U195" s="511"/>
      <c r="V195" s="113"/>
      <c r="W195" s="113"/>
      <c r="X195" s="113"/>
      <c r="Y195" s="113"/>
    </row>
    <row r="196" spans="1:25" hidden="1"/>
    <row r="197" spans="1:25" ht="19.5" hidden="1" customHeight="1">
      <c r="A197" s="2"/>
      <c r="B197" s="2504">
        <v>4.3</v>
      </c>
      <c r="C197" s="2505" t="s">
        <v>1947</v>
      </c>
      <c r="D197" s="2506"/>
      <c r="E197" s="2507"/>
      <c r="F197" s="21"/>
      <c r="G197" s="21"/>
      <c r="H197" s="21"/>
      <c r="I197" s="500"/>
      <c r="J197" s="500"/>
      <c r="K197" s="500"/>
      <c r="L197" s="500"/>
      <c r="M197" s="500"/>
      <c r="N197" s="22"/>
      <c r="O197" s="123"/>
      <c r="P197" s="123"/>
      <c r="Q197" s="123"/>
      <c r="R197" s="265"/>
      <c r="S197" s="265"/>
      <c r="T197" s="265"/>
    </row>
    <row r="198" spans="1:25" ht="16.5" hidden="1" customHeight="1" thickBot="1">
      <c r="A198" s="2"/>
      <c r="B198" s="137"/>
      <c r="C198" s="504"/>
      <c r="D198" s="2504" t="s">
        <v>1948</v>
      </c>
      <c r="E198" s="361"/>
      <c r="F198" s="125"/>
      <c r="I198" s="500"/>
      <c r="J198" s="500"/>
      <c r="K198" s="500"/>
      <c r="L198" s="148" t="s">
        <v>2</v>
      </c>
      <c r="M198" s="2508">
        <f>重み!M32</f>
        <v>0</v>
      </c>
      <c r="N198" s="22"/>
      <c r="O198" s="29">
        <f t="shared" ref="O198" si="25">C198</f>
        <v>0</v>
      </c>
      <c r="P198" s="29" t="str">
        <f>D198</f>
        <v>4.3.1　軽量衝撃音に対する遮音性能</v>
      </c>
      <c r="Q198" s="29">
        <f t="shared" ref="Q198" si="26">E198</f>
        <v>0</v>
      </c>
      <c r="R198" s="29">
        <f t="shared" ref="R198" si="27">F198</f>
        <v>0</v>
      </c>
      <c r="S198" s="29" t="str">
        <f>L198</f>
        <v>重み係数＝</v>
      </c>
      <c r="T198" s="29">
        <f t="shared" ref="T198" si="28">H198</f>
        <v>0</v>
      </c>
      <c r="U198" s="29">
        <f t="shared" ref="U198" si="29">I198</f>
        <v>0</v>
      </c>
      <c r="V198" s="29">
        <f t="shared" ref="V198" si="30">J198</f>
        <v>0</v>
      </c>
      <c r="W198" s="29">
        <f t="shared" ref="W198" si="31">K198</f>
        <v>0</v>
      </c>
      <c r="X198" s="29" t="str">
        <f t="shared" ref="X198" si="32">L198</f>
        <v>重み係数＝</v>
      </c>
      <c r="Y198" s="29">
        <f t="shared" ref="Y198" si="33">M198</f>
        <v>0</v>
      </c>
    </row>
    <row r="199" spans="1:25" ht="16.5" hidden="1" customHeight="1" thickBot="1">
      <c r="A199" s="2"/>
      <c r="B199" s="137"/>
      <c r="C199" s="509"/>
      <c r="D199" s="864">
        <v>1</v>
      </c>
      <c r="E199" s="2934" t="s">
        <v>415</v>
      </c>
      <c r="F199" s="2935"/>
      <c r="G199" s="2935"/>
      <c r="H199" s="2935"/>
      <c r="I199" s="2935"/>
      <c r="J199" s="2935"/>
      <c r="K199" s="2935"/>
      <c r="L199" s="2935"/>
      <c r="M199" s="2936"/>
      <c r="N199" s="22"/>
      <c r="P199" s="29"/>
      <c r="R199" s="29"/>
      <c r="S199" s="29"/>
      <c r="T199" s="29"/>
      <c r="U199" s="29"/>
      <c r="V199" s="29"/>
      <c r="W199" s="29"/>
      <c r="X199" s="29"/>
      <c r="Y199" s="29"/>
    </row>
    <row r="200" spans="1:25" ht="16.5" hidden="1" customHeight="1">
      <c r="A200" s="2"/>
      <c r="B200" s="137"/>
      <c r="C200" s="510"/>
      <c r="D200" s="25" t="str">
        <f>IF(D199=$Q$14,$R$9,IF(AND($M$3=$Y$3,ROUNDDOWN(D199,0)=$Q$9),$S$9,$R$9))</f>
        <v>■レベル　1</v>
      </c>
      <c r="E200" s="2509" t="s">
        <v>1949</v>
      </c>
      <c r="F200" s="487"/>
      <c r="G200" s="487"/>
      <c r="H200" s="487"/>
      <c r="I200" s="487"/>
      <c r="J200" s="487"/>
      <c r="K200" s="487"/>
      <c r="L200" s="487"/>
      <c r="M200" s="488"/>
      <c r="N200" s="22"/>
      <c r="P200" s="491">
        <v>1</v>
      </c>
      <c r="Q200" s="29"/>
      <c r="R200" s="29"/>
      <c r="S200" s="29"/>
      <c r="T200" s="29"/>
      <c r="U200" s="491">
        <f>$Q$9</f>
        <v>1</v>
      </c>
      <c r="V200" s="29"/>
      <c r="W200" s="29"/>
      <c r="X200" s="29"/>
      <c r="Y200" s="29"/>
    </row>
    <row r="201" spans="1:25" ht="16.5" hidden="1" customHeight="1">
      <c r="A201" s="2"/>
      <c r="B201" s="137"/>
      <c r="C201" s="510"/>
      <c r="D201" s="28" t="str">
        <f>IF(D199=$Q$14,$R$10,IF(AND($M$3=$Y$3,ROUNDDOWN(D199,0)=$Q$10),$S$10,$R$10))</f>
        <v>　レベル　2</v>
      </c>
      <c r="E201" s="2495" t="s">
        <v>1950</v>
      </c>
      <c r="F201" s="489"/>
      <c r="G201" s="489"/>
      <c r="H201" s="489"/>
      <c r="I201" s="489"/>
      <c r="J201" s="489"/>
      <c r="K201" s="489"/>
      <c r="L201" s="489"/>
      <c r="M201" s="490"/>
      <c r="N201" s="22"/>
      <c r="P201" s="491">
        <v>2</v>
      </c>
      <c r="Q201" s="29"/>
      <c r="R201" s="29"/>
      <c r="S201" s="29"/>
      <c r="T201" s="29"/>
      <c r="U201" s="491">
        <f>$Q$10</f>
        <v>2</v>
      </c>
      <c r="V201" s="29"/>
      <c r="W201" s="29"/>
      <c r="X201" s="29"/>
      <c r="Y201" s="29"/>
    </row>
    <row r="202" spans="1:25" ht="16.5" hidden="1" customHeight="1">
      <c r="A202" s="2"/>
      <c r="B202" s="137"/>
      <c r="C202" s="510"/>
      <c r="D202" s="28" t="str">
        <f>IF(D199=$Q$14,$R$11,IF(AND($M$3=$Y$3,ROUNDDOWN(D199,0)=$Q$11),$S$11,$R$11))</f>
        <v>　レベル　3</v>
      </c>
      <c r="E202" s="2495" t="s">
        <v>1951</v>
      </c>
      <c r="F202" s="489"/>
      <c r="G202" s="489"/>
      <c r="H202" s="489"/>
      <c r="I202" s="489"/>
      <c r="J202" s="489"/>
      <c r="K202" s="489"/>
      <c r="L202" s="489"/>
      <c r="M202" s="490"/>
      <c r="N202" s="22"/>
      <c r="P202" s="491">
        <f>$Q$11</f>
        <v>3</v>
      </c>
      <c r="Q202" s="29"/>
      <c r="R202" s="29"/>
      <c r="S202" s="29"/>
      <c r="T202" s="29"/>
      <c r="U202" s="491">
        <f>$Q$11</f>
        <v>3</v>
      </c>
      <c r="V202" s="29"/>
      <c r="W202" s="29"/>
      <c r="X202" s="29"/>
      <c r="Y202" s="29"/>
    </row>
    <row r="203" spans="1:25" ht="16.5" hidden="1" customHeight="1">
      <c r="A203" s="2"/>
      <c r="B203" s="137"/>
      <c r="C203" s="510"/>
      <c r="D203" s="28" t="str">
        <f>IF(D199=$Q$14,$R$12,IF(AND($M$3=$Y$3,ROUNDDOWN(D199,0)=$Q$12),$S$12,$R$12))</f>
        <v>　レベル　4</v>
      </c>
      <c r="E203" s="2496" t="s">
        <v>1952</v>
      </c>
      <c r="F203" s="492"/>
      <c r="G203" s="492"/>
      <c r="H203" s="492"/>
      <c r="I203" s="492"/>
      <c r="J203" s="492"/>
      <c r="K203" s="492"/>
      <c r="L203" s="492"/>
      <c r="M203" s="493"/>
      <c r="N203" s="22"/>
      <c r="P203" s="491">
        <f>$Q$12</f>
        <v>4</v>
      </c>
      <c r="Q203" s="29"/>
      <c r="R203" s="29"/>
      <c r="S203" s="29"/>
      <c r="T203" s="29"/>
      <c r="U203" s="491">
        <f>$Q$12</f>
        <v>4</v>
      </c>
      <c r="V203" s="29"/>
      <c r="W203" s="29"/>
      <c r="X203" s="29"/>
      <c r="Y203" s="29"/>
    </row>
    <row r="204" spans="1:25" ht="16.5" hidden="1" customHeight="1">
      <c r="A204" s="2"/>
      <c r="B204" s="137"/>
      <c r="C204" s="510"/>
      <c r="D204" s="26" t="str">
        <f>IF(D199=$Q$14,$R$13,IF(AND($M$3=$Y$3,ROUNDDOWN(D199,0)=$Q$13),$S$13,$R$13))</f>
        <v>　レベル　5</v>
      </c>
      <c r="E204" s="2497" t="s">
        <v>1953</v>
      </c>
      <c r="F204" s="494"/>
      <c r="G204" s="494"/>
      <c r="H204" s="494"/>
      <c r="I204" s="494"/>
      <c r="J204" s="494"/>
      <c r="K204" s="494"/>
      <c r="L204" s="494"/>
      <c r="M204" s="495"/>
      <c r="N204" s="22"/>
      <c r="P204" s="491">
        <f>$Q$13</f>
        <v>5</v>
      </c>
      <c r="Q204" s="29"/>
      <c r="R204" s="29"/>
      <c r="S204" s="29"/>
      <c r="T204" s="29"/>
      <c r="U204" s="491">
        <f>$Q$13</f>
        <v>5</v>
      </c>
      <c r="V204" s="29"/>
      <c r="W204" s="29"/>
      <c r="X204" s="29"/>
      <c r="Y204" s="29"/>
    </row>
    <row r="205" spans="1:25" s="29" customFormat="1" ht="8.25" hidden="1" customHeight="1">
      <c r="A205" s="19"/>
      <c r="B205" s="137"/>
      <c r="C205" s="504"/>
      <c r="D205" s="270"/>
      <c r="E205" s="270"/>
      <c r="F205" s="2"/>
      <c r="G205" s="2"/>
      <c r="H205" s="2"/>
      <c r="I205" s="2"/>
      <c r="J205" s="2"/>
      <c r="K205" s="2"/>
      <c r="L205" s="2"/>
      <c r="M205" s="2"/>
      <c r="N205" s="22"/>
      <c r="P205" s="491" t="str">
        <f>Q205</f>
        <v>対象外</v>
      </c>
      <c r="Q205" s="284" t="s">
        <v>87</v>
      </c>
      <c r="R205" s="4"/>
      <c r="S205" s="4"/>
      <c r="T205" s="113"/>
    </row>
    <row r="206" spans="1:25" s="29" customFormat="1" ht="21" hidden="1" customHeight="1">
      <c r="A206" s="19"/>
      <c r="B206" s="137"/>
      <c r="C206" s="504"/>
      <c r="E206" s="646" t="s">
        <v>3</v>
      </c>
      <c r="F206" s="647"/>
      <c r="G206" s="2441"/>
      <c r="H206" s="2442"/>
      <c r="I206" s="990"/>
      <c r="J206" s="990"/>
      <c r="K206" s="990"/>
      <c r="L206" s="990"/>
      <c r="M206" s="991"/>
      <c r="N206" s="22"/>
      <c r="P206" s="511"/>
      <c r="Q206" s="284"/>
      <c r="R206" s="4"/>
      <c r="S206" s="4"/>
      <c r="T206" s="113"/>
      <c r="U206" s="511"/>
      <c r="V206" s="113"/>
      <c r="W206" s="113"/>
      <c r="X206" s="113"/>
      <c r="Y206" s="113"/>
    </row>
    <row r="207" spans="1:25" hidden="1"/>
    <row r="208" spans="1:25" ht="16.5" hidden="1" customHeight="1" thickBot="1">
      <c r="A208" s="2"/>
      <c r="B208" s="137"/>
      <c r="C208" s="504"/>
      <c r="D208" s="2504" t="s">
        <v>1954</v>
      </c>
      <c r="E208" s="361"/>
      <c r="F208" s="125"/>
      <c r="I208" s="500"/>
      <c r="J208" s="500"/>
      <c r="K208" s="500"/>
      <c r="L208" s="148" t="s">
        <v>2</v>
      </c>
      <c r="M208" s="2508">
        <f>重み!M33</f>
        <v>0</v>
      </c>
      <c r="N208" s="22"/>
      <c r="O208" s="29">
        <f t="shared" ref="O208" si="34">C208</f>
        <v>0</v>
      </c>
      <c r="P208" s="29" t="str">
        <f>D208</f>
        <v>4.3.2　重量衝撃音に対する遮音性能</v>
      </c>
      <c r="Q208" s="29">
        <f t="shared" ref="Q208" si="35">E208</f>
        <v>0</v>
      </c>
      <c r="R208" s="29">
        <f t="shared" ref="R208" si="36">F208</f>
        <v>0</v>
      </c>
      <c r="S208" s="29" t="str">
        <f>L208</f>
        <v>重み係数＝</v>
      </c>
      <c r="T208" s="29">
        <f t="shared" ref="T208" si="37">H208</f>
        <v>0</v>
      </c>
      <c r="U208" s="29">
        <f t="shared" ref="U208" si="38">I208</f>
        <v>0</v>
      </c>
      <c r="V208" s="29">
        <f t="shared" ref="V208" si="39">J208</f>
        <v>0</v>
      </c>
      <c r="W208" s="29">
        <f t="shared" ref="W208" si="40">K208</f>
        <v>0</v>
      </c>
      <c r="X208" s="29" t="str">
        <f t="shared" ref="X208" si="41">L208</f>
        <v>重み係数＝</v>
      </c>
      <c r="Y208" s="29">
        <f t="shared" ref="Y208" si="42">M208</f>
        <v>0</v>
      </c>
    </row>
    <row r="209" spans="1:25" ht="16.5" hidden="1" customHeight="1" thickBot="1">
      <c r="A209" s="2"/>
      <c r="B209" s="137"/>
      <c r="C209" s="509"/>
      <c r="D209" s="864">
        <v>2</v>
      </c>
      <c r="E209" s="2934" t="s">
        <v>415</v>
      </c>
      <c r="F209" s="2935"/>
      <c r="G209" s="2935"/>
      <c r="H209" s="2935"/>
      <c r="I209" s="2935"/>
      <c r="J209" s="2935"/>
      <c r="K209" s="2935"/>
      <c r="L209" s="2935"/>
      <c r="M209" s="2936"/>
      <c r="N209" s="22"/>
      <c r="P209" s="29"/>
      <c r="R209" s="29"/>
      <c r="S209" s="29"/>
      <c r="T209" s="29"/>
      <c r="U209" s="29"/>
      <c r="V209" s="29"/>
      <c r="W209" s="29"/>
      <c r="X209" s="29"/>
      <c r="Y209" s="29"/>
    </row>
    <row r="210" spans="1:25" ht="16.5" hidden="1" customHeight="1">
      <c r="A210" s="2"/>
      <c r="B210" s="137"/>
      <c r="C210" s="510"/>
      <c r="D210" s="25" t="str">
        <f>IF(D209=$Q$14,$R$9,IF(AND($M$3=$Y$3,ROUNDDOWN(D209,0)=$Q$9),$S$9,$R$9))</f>
        <v>　レベル　1</v>
      </c>
      <c r="E210" s="2509" t="s">
        <v>1955</v>
      </c>
      <c r="F210" s="487"/>
      <c r="G210" s="487"/>
      <c r="H210" s="487"/>
      <c r="I210" s="487"/>
      <c r="J210" s="487"/>
      <c r="K210" s="487"/>
      <c r="L210" s="487"/>
      <c r="M210" s="488"/>
      <c r="N210" s="22"/>
      <c r="P210" s="491">
        <v>1</v>
      </c>
      <c r="Q210" s="29"/>
      <c r="R210" s="29"/>
      <c r="S210" s="29"/>
      <c r="T210" s="29"/>
      <c r="U210" s="491">
        <f>$Q$9</f>
        <v>1</v>
      </c>
      <c r="V210" s="29"/>
      <c r="W210" s="29"/>
      <c r="X210" s="29"/>
      <c r="Y210" s="29"/>
    </row>
    <row r="211" spans="1:25" ht="16.5" hidden="1" customHeight="1">
      <c r="A211" s="2"/>
      <c r="B211" s="137"/>
      <c r="C211" s="510"/>
      <c r="D211" s="28" t="str">
        <f>IF(D209=$Q$14,$R$10,IF(AND($M$3=$Y$3,ROUNDDOWN(D209,0)=$Q$10),$S$10,$R$10))</f>
        <v>■レベル　2</v>
      </c>
      <c r="E211" s="2495" t="s">
        <v>1956</v>
      </c>
      <c r="F211" s="489"/>
      <c r="G211" s="489"/>
      <c r="H211" s="489"/>
      <c r="I211" s="489"/>
      <c r="J211" s="489"/>
      <c r="K211" s="489"/>
      <c r="L211" s="489"/>
      <c r="M211" s="490"/>
      <c r="N211" s="22"/>
      <c r="P211" s="491">
        <v>2</v>
      </c>
      <c r="Q211" s="29"/>
      <c r="R211" s="29"/>
      <c r="S211" s="29"/>
      <c r="T211" s="29"/>
      <c r="U211" s="491">
        <f>$Q$10</f>
        <v>2</v>
      </c>
      <c r="V211" s="29"/>
      <c r="W211" s="29"/>
      <c r="X211" s="29"/>
      <c r="Y211" s="29"/>
    </row>
    <row r="212" spans="1:25" ht="16.5" hidden="1" customHeight="1">
      <c r="A212" s="2"/>
      <c r="B212" s="137"/>
      <c r="C212" s="510"/>
      <c r="D212" s="28" t="str">
        <f>IF(D209=$Q$14,$R$11,IF(AND($M$3=$Y$3,ROUNDDOWN(D209,0)=$Q$11),$S$11,$R$11))</f>
        <v>　レベル　3</v>
      </c>
      <c r="E212" s="2495" t="s">
        <v>1957</v>
      </c>
      <c r="F212" s="489"/>
      <c r="G212" s="489"/>
      <c r="H212" s="489"/>
      <c r="I212" s="489"/>
      <c r="J212" s="489"/>
      <c r="K212" s="489"/>
      <c r="L212" s="489"/>
      <c r="M212" s="490"/>
      <c r="N212" s="22"/>
      <c r="P212" s="491">
        <f>$Q$11</f>
        <v>3</v>
      </c>
      <c r="Q212" s="29"/>
      <c r="R212" s="29"/>
      <c r="S212" s="29"/>
      <c r="T212" s="29"/>
      <c r="U212" s="491">
        <f>$Q$11</f>
        <v>3</v>
      </c>
      <c r="V212" s="29"/>
      <c r="W212" s="29"/>
      <c r="X212" s="29"/>
      <c r="Y212" s="29"/>
    </row>
    <row r="213" spans="1:25" ht="16.5" hidden="1" customHeight="1">
      <c r="A213" s="2"/>
      <c r="B213" s="137"/>
      <c r="C213" s="510"/>
      <c r="D213" s="28" t="str">
        <f>IF(D209=$Q$14,$R$12,IF(AND($M$3=$Y$3,ROUNDDOWN(D209,0)=$Q$12),$S$12,$R$12))</f>
        <v>　レベル　4</v>
      </c>
      <c r="E213" s="2496" t="s">
        <v>1958</v>
      </c>
      <c r="F213" s="492"/>
      <c r="G213" s="492"/>
      <c r="H213" s="492"/>
      <c r="I213" s="492"/>
      <c r="J213" s="492"/>
      <c r="K213" s="492"/>
      <c r="L213" s="492"/>
      <c r="M213" s="493"/>
      <c r="N213" s="22"/>
      <c r="P213" s="491">
        <f>$Q$12</f>
        <v>4</v>
      </c>
      <c r="Q213" s="29"/>
      <c r="R213" s="29"/>
      <c r="S213" s="29"/>
      <c r="T213" s="29"/>
      <c r="U213" s="491">
        <f>$Q$12</f>
        <v>4</v>
      </c>
      <c r="V213" s="29"/>
      <c r="W213" s="29"/>
      <c r="X213" s="29"/>
      <c r="Y213" s="29"/>
    </row>
    <row r="214" spans="1:25" ht="16.5" hidden="1" customHeight="1">
      <c r="A214" s="2"/>
      <c r="B214" s="137"/>
      <c r="C214" s="510"/>
      <c r="D214" s="26" t="str">
        <f>IF(D209=$Q$14,$R$13,IF(AND($M$3=$Y$3,ROUNDDOWN(D209,0)=$Q$13),$S$13,$R$13))</f>
        <v>　レベル　5</v>
      </c>
      <c r="E214" s="2497" t="s">
        <v>1959</v>
      </c>
      <c r="F214" s="494"/>
      <c r="G214" s="494"/>
      <c r="H214" s="494"/>
      <c r="I214" s="494"/>
      <c r="J214" s="494"/>
      <c r="K214" s="494"/>
      <c r="L214" s="494"/>
      <c r="M214" s="495"/>
      <c r="N214" s="22"/>
      <c r="P214" s="491">
        <f>$Q$13</f>
        <v>5</v>
      </c>
      <c r="Q214" s="29"/>
      <c r="R214" s="29"/>
      <c r="S214" s="29"/>
      <c r="T214" s="29"/>
      <c r="U214" s="491">
        <f>$Q$13</f>
        <v>5</v>
      </c>
      <c r="V214" s="29"/>
      <c r="W214" s="29"/>
      <c r="X214" s="29"/>
      <c r="Y214" s="29"/>
    </row>
    <row r="215" spans="1:25" s="29" customFormat="1" ht="8.25" hidden="1" customHeight="1">
      <c r="A215" s="19"/>
      <c r="B215" s="137"/>
      <c r="C215" s="504"/>
      <c r="D215" s="270"/>
      <c r="E215" s="270"/>
      <c r="F215" s="2"/>
      <c r="G215" s="2"/>
      <c r="H215" s="2"/>
      <c r="I215" s="2"/>
      <c r="J215" s="2"/>
      <c r="K215" s="2"/>
      <c r="L215" s="2"/>
      <c r="M215" s="2"/>
      <c r="N215" s="22"/>
      <c r="P215" s="491" t="str">
        <f>Q215</f>
        <v>対象外</v>
      </c>
      <c r="Q215" s="284" t="s">
        <v>87</v>
      </c>
      <c r="R215" s="4"/>
      <c r="S215" s="4"/>
      <c r="T215" s="113"/>
    </row>
    <row r="216" spans="1:25" s="29" customFormat="1" ht="21" hidden="1" customHeight="1">
      <c r="A216" s="19"/>
      <c r="B216" s="137"/>
      <c r="C216" s="504"/>
      <c r="E216" s="646" t="s">
        <v>3</v>
      </c>
      <c r="F216" s="647"/>
      <c r="G216" s="2441"/>
      <c r="H216" s="2442"/>
      <c r="I216" s="990"/>
      <c r="J216" s="990"/>
      <c r="K216" s="990"/>
      <c r="L216" s="990"/>
      <c r="M216" s="991"/>
      <c r="N216" s="22"/>
      <c r="P216" s="511"/>
      <c r="Q216" s="284"/>
      <c r="R216" s="4"/>
      <c r="S216" s="4"/>
      <c r="T216" s="113"/>
      <c r="U216" s="511"/>
      <c r="V216" s="113"/>
      <c r="W216" s="113"/>
      <c r="X216" s="113"/>
      <c r="Y216" s="113"/>
    </row>
  </sheetData>
  <sheetProtection algorithmName="SHA-512" hashValue="o/vHgv50J/frnEoQw/iH+KEZZGYKaYo43MyKvh1ZCLFOidvBnq2S+2DgWzgGwGqiDPFWrob+yaOqV2WpejDs4A==" saltValue="1TkRrJmq4+mTuOZbaw6Prg==" spinCount="100000" sheet="1" objects="1" scenarios="1"/>
  <mergeCells count="36">
    <mergeCell ref="E188:M188"/>
    <mergeCell ref="E199:M199"/>
    <mergeCell ref="E209:M209"/>
    <mergeCell ref="E99:E101"/>
    <mergeCell ref="G99:H101"/>
    <mergeCell ref="E176:M176"/>
    <mergeCell ref="E108:M108"/>
    <mergeCell ref="G119:M119"/>
    <mergeCell ref="G151:M151"/>
    <mergeCell ref="G166:M166"/>
    <mergeCell ref="G167:M167"/>
    <mergeCell ref="G168:M168"/>
    <mergeCell ref="G116:M116"/>
    <mergeCell ref="G117:M117"/>
    <mergeCell ref="G118:M118"/>
    <mergeCell ref="G150:M150"/>
    <mergeCell ref="G129:M129"/>
    <mergeCell ref="F130:F135"/>
    <mergeCell ref="L85:M89"/>
    <mergeCell ref="E62:M62"/>
    <mergeCell ref="E73:M73"/>
    <mergeCell ref="G92:H93"/>
    <mergeCell ref="E94:E96"/>
    <mergeCell ref="G94:H96"/>
    <mergeCell ref="E97:E98"/>
    <mergeCell ref="G97:H98"/>
    <mergeCell ref="F92:F93"/>
    <mergeCell ref="F94:F96"/>
    <mergeCell ref="F97:F98"/>
    <mergeCell ref="F99:F101"/>
    <mergeCell ref="E92:E93"/>
    <mergeCell ref="E8:M8"/>
    <mergeCell ref="E18:M18"/>
    <mergeCell ref="E29:M29"/>
    <mergeCell ref="E39:M39"/>
    <mergeCell ref="E50:M50"/>
  </mergeCells>
  <phoneticPr fontId="4"/>
  <conditionalFormatting sqref="D8 D18 D29 D39 D50 D62 D73 D143 D176">
    <cfRule type="expression" dxfId="156" priority="131" stopIfTrue="1">
      <formula>AND(OR(D8&lt;1,D8&gt;5),D8&lt;&gt;P14)</formula>
    </cfRule>
    <cfRule type="expression" dxfId="155" priority="132" stopIfTrue="1">
      <formula>M7&gt;0</formula>
    </cfRule>
  </conditionalFormatting>
  <conditionalFormatting sqref="D142">
    <cfRule type="expression" dxfId="154" priority="230" stopIfTrue="1">
      <formula>AND(OR(D142&lt;1,D142&gt;5),D142&lt;&gt;U85)</formula>
    </cfRule>
    <cfRule type="expression" dxfId="153" priority="231" stopIfTrue="1">
      <formula>M141&gt;0</formula>
    </cfRule>
  </conditionalFormatting>
  <conditionalFormatting sqref="D157">
    <cfRule type="expression" dxfId="152" priority="219" stopIfTrue="1">
      <formula>AND(OR(D157&lt;1,D157&gt;5),D157&lt;&gt;#REF!)</formula>
    </cfRule>
    <cfRule type="expression" dxfId="151" priority="220" stopIfTrue="1">
      <formula>M156&gt;0</formula>
    </cfRule>
  </conditionalFormatting>
  <conditionalFormatting sqref="D158">
    <cfRule type="expression" dxfId="150" priority="103" stopIfTrue="1">
      <formula>AND(OR(D158&lt;1,D158&gt;5),D158&lt;&gt;P164)</formula>
    </cfRule>
    <cfRule type="expression" dxfId="149" priority="104" stopIfTrue="1">
      <formula>M157&gt;0</formula>
    </cfRule>
  </conditionalFormatting>
  <conditionalFormatting sqref="D188">
    <cfRule type="expression" dxfId="148" priority="7" stopIfTrue="1">
      <formula>AND(OR(D188&lt;1,D188&gt;5),D188&lt;&gt;P194)</formula>
    </cfRule>
    <cfRule type="expression" dxfId="147" priority="8" stopIfTrue="1">
      <formula>M187&gt;0</formula>
    </cfRule>
  </conditionalFormatting>
  <conditionalFormatting sqref="D199">
    <cfRule type="expression" dxfId="146" priority="5" stopIfTrue="1">
      <formula>AND(OR(D199&lt;1,D199&gt;5),D199&lt;&gt;P205)</formula>
    </cfRule>
    <cfRule type="expression" dxfId="145" priority="6" stopIfTrue="1">
      <formula>M198&gt;0</formula>
    </cfRule>
  </conditionalFormatting>
  <conditionalFormatting sqref="D209">
    <cfRule type="expression" dxfId="144" priority="3" stopIfTrue="1">
      <formula>AND(OR(D209&lt;1,D209&gt;5),D209&lt;&gt;P215)</formula>
    </cfRule>
    <cfRule type="expression" dxfId="143" priority="4" stopIfTrue="1">
      <formula>M208&gt;0</formula>
    </cfRule>
  </conditionalFormatting>
  <conditionalFormatting sqref="E92 E94 E97 E99">
    <cfRule type="expression" dxfId="142" priority="95" stopIfTrue="1">
      <formula>$M$7&gt;0</formula>
    </cfRule>
  </conditionalFormatting>
  <conditionalFormatting sqref="E116:E119">
    <cfRule type="expression" dxfId="141" priority="126" stopIfTrue="1">
      <formula>$M$7&gt;0</formula>
    </cfRule>
  </conditionalFormatting>
  <conditionalFormatting sqref="E129:E135">
    <cfRule type="expression" dxfId="140" priority="9" stopIfTrue="1">
      <formula>$M$7&gt;0</formula>
    </cfRule>
  </conditionalFormatting>
  <conditionalFormatting sqref="E150:E151">
    <cfRule type="expression" dxfId="139" priority="133" stopIfTrue="1">
      <formula>$M$7&gt;0</formula>
    </cfRule>
  </conditionalFormatting>
  <conditionalFormatting sqref="E166:E168">
    <cfRule type="expression" dxfId="138" priority="105" stopIfTrue="1">
      <formula>$M$7&gt;0</formula>
    </cfRule>
  </conditionalFormatting>
  <dataValidations count="4">
    <dataValidation type="list" allowBlank="1" showInputMessage="1" sqref="D39 D8 D73 D62 D29 D50 D176 D18 D143 D158 D188 D199 D209" xr:uid="{00000000-0002-0000-0800-000000000000}">
      <formula1>P9:P14</formula1>
    </dataValidation>
    <dataValidation type="textLength" operator="lessThanOrEqual" allowBlank="1" showInputMessage="1" showErrorMessage="1" sqref="F69 F57 F104 F15 F25 F36 F46 F183:F184 F171 F138 F154 F80 F195 F206 F216" xr:uid="{00000000-0002-0000-0800-000001000000}">
      <formula1>30</formula1>
    </dataValidation>
    <dataValidation type="list" allowBlank="1" showInputMessage="1" showErrorMessage="1" sqref="E97 E150:E151 E166:E168 E99 E92 E94 E116:E119 E129:E135" xr:uid="{00000000-0002-0000-0800-000002000000}">
      <formula1>$U$3:$U$4</formula1>
    </dataValidation>
    <dataValidation allowBlank="1" showInputMessage="1" sqref="D157 D142" xr:uid="{00000000-0002-0000-0800-000003000000}"/>
  </dataValidations>
  <printOptions horizontalCentered="1"/>
  <pageMargins left="0.78740157480314965" right="0.78740157480314965" top="0.78740157480314965" bottom="0.78740157480314965" header="0.51181102362204722" footer="0.51181102362204722"/>
  <pageSetup paperSize="9" scale="72" fitToHeight="0" orientation="portrait" horizontalDpi="4294967293" verticalDpi="4294967293" r:id="rId1"/>
  <headerFooter alignWithMargins="0">
    <oddHeader>&amp;L&amp;F&amp;R&amp;A</oddHeader>
    <oddFooter>&amp;C&amp;P/&amp;N</oddFooter>
  </headerFooter>
  <rowBreaks count="3" manualBreakCount="3">
    <brk id="70" max="13" man="1"/>
    <brk id="139" max="13" man="1"/>
    <brk id="185"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fitToPage="1"/>
  </sheetPr>
  <dimension ref="A1:AN316"/>
  <sheetViews>
    <sheetView showGridLines="0" topLeftCell="A224" zoomScaleNormal="100" workbookViewId="0">
      <selection activeCell="C301" sqref="C301"/>
    </sheetView>
  </sheetViews>
  <sheetFormatPr defaultColWidth="0" defaultRowHeight="15.6" zeroHeight="1"/>
  <cols>
    <col min="1" max="1" width="1.33203125" style="4" customWidth="1"/>
    <col min="2" max="2" width="4.6640625" style="513" customWidth="1"/>
    <col min="3" max="3" width="1.44140625" style="4" customWidth="1"/>
    <col min="4" max="11" width="11.109375" style="4" customWidth="1"/>
    <col min="12" max="12" width="11.44140625" style="4" customWidth="1"/>
    <col min="13" max="13" width="11.109375" style="4" customWidth="1"/>
    <col min="14" max="14" width="2.88671875" style="4" customWidth="1"/>
    <col min="15" max="15" width="8.44140625" style="4" hidden="1" customWidth="1"/>
    <col min="16" max="16384" width="8.88671875" style="4" hidden="1"/>
  </cols>
  <sheetData>
    <row r="1" spans="1:25" s="29" customFormat="1" ht="22.5" customHeight="1">
      <c r="A1" s="19"/>
      <c r="B1" s="137"/>
      <c r="C1" s="22"/>
      <c r="D1" s="129"/>
      <c r="E1" s="19"/>
      <c r="F1" s="19"/>
      <c r="G1" s="19"/>
      <c r="H1" s="19"/>
      <c r="I1" s="19"/>
      <c r="J1" s="19"/>
      <c r="K1" s="861" t="s">
        <v>362</v>
      </c>
      <c r="L1" s="862" t="str">
        <f>IF(メイン!$C$10="","",メイン!$C$10)</f>
        <v>あおもりGX</v>
      </c>
      <c r="M1" s="863"/>
      <c r="N1" s="22"/>
      <c r="O1" s="121"/>
      <c r="P1" s="121"/>
      <c r="Q1" s="121"/>
    </row>
    <row r="2" spans="1:25" s="29" customFormat="1" ht="9" customHeight="1" thickBot="1">
      <c r="A2" s="19"/>
      <c r="B2" s="137"/>
      <c r="C2" s="22"/>
      <c r="D2" s="129"/>
      <c r="E2" s="19"/>
      <c r="F2" s="19"/>
      <c r="G2" s="19"/>
      <c r="H2" s="19"/>
      <c r="I2" s="19"/>
      <c r="J2" s="19"/>
      <c r="K2" s="860"/>
      <c r="L2" s="317"/>
      <c r="M2" s="19"/>
      <c r="N2" s="22"/>
      <c r="O2" s="121"/>
      <c r="P2" s="121"/>
      <c r="Q2" s="121"/>
    </row>
    <row r="3" spans="1:25" ht="21.6" thickBot="1">
      <c r="A3" s="2"/>
      <c r="B3" s="269" t="s">
        <v>945</v>
      </c>
      <c r="C3" s="20"/>
      <c r="D3" s="19"/>
      <c r="E3" s="19"/>
      <c r="F3" s="19"/>
      <c r="H3" s="124"/>
      <c r="I3" s="41" t="s">
        <v>66</v>
      </c>
      <c r="J3" s="21"/>
      <c r="K3" s="19"/>
      <c r="L3" s="19"/>
      <c r="M3" s="129"/>
      <c r="N3" s="2"/>
      <c r="O3" s="111"/>
      <c r="P3" s="275" t="s">
        <v>88</v>
      </c>
      <c r="Q3" s="111"/>
      <c r="R3" s="29"/>
      <c r="T3" s="360" t="s">
        <v>91</v>
      </c>
      <c r="U3" s="363" t="s">
        <v>92</v>
      </c>
      <c r="V3" s="29"/>
      <c r="W3" s="360"/>
      <c r="X3" s="29"/>
      <c r="Y3" s="360" t="str">
        <f>メイン!O32</f>
        <v>基本設計段階</v>
      </c>
    </row>
    <row r="4" spans="1:25" ht="6" customHeight="1">
      <c r="A4" s="2"/>
      <c r="B4" s="137"/>
      <c r="C4" s="20"/>
      <c r="D4" s="19"/>
      <c r="E4" s="19"/>
      <c r="F4" s="19"/>
      <c r="G4" s="19"/>
      <c r="H4" s="19"/>
      <c r="I4" s="21"/>
      <c r="J4" s="21"/>
      <c r="K4" s="19"/>
      <c r="L4" s="19"/>
      <c r="M4" s="19"/>
      <c r="N4" s="2"/>
      <c r="O4" s="29"/>
      <c r="P4" s="29"/>
      <c r="Q4" s="29"/>
      <c r="R4" s="29"/>
      <c r="T4" s="360" t="s">
        <v>93</v>
      </c>
      <c r="U4" s="360"/>
      <c r="V4" s="29"/>
      <c r="W4" s="360" t="s">
        <v>94</v>
      </c>
      <c r="X4" s="29"/>
      <c r="Y4" s="360" t="str">
        <f>メイン!O33</f>
        <v>実施設計段階</v>
      </c>
    </row>
    <row r="5" spans="1:25" s="285" customFormat="1" ht="14.25" customHeight="1">
      <c r="A5" s="14"/>
      <c r="B5" s="137">
        <v>1</v>
      </c>
      <c r="C5" s="23" t="s">
        <v>568</v>
      </c>
      <c r="D5" s="23"/>
      <c r="E5" s="23"/>
      <c r="F5" s="23"/>
      <c r="G5" s="23"/>
      <c r="H5" s="23"/>
      <c r="I5" s="23"/>
      <c r="J5" s="23"/>
      <c r="K5" s="23"/>
      <c r="L5" s="23"/>
      <c r="M5" s="23"/>
      <c r="N5" s="14"/>
      <c r="O5" s="147"/>
      <c r="P5" s="147"/>
      <c r="Q5" s="147"/>
      <c r="R5" s="147"/>
      <c r="S5" s="147"/>
      <c r="T5" s="147"/>
      <c r="U5" s="147"/>
      <c r="V5" s="147"/>
      <c r="W5" s="147"/>
      <c r="X5" s="147"/>
      <c r="Y5" s="360" t="str">
        <f>メイン!O34</f>
        <v>竣工段階</v>
      </c>
    </row>
    <row r="6" spans="1:25" s="285" customFormat="1" ht="14.25" customHeight="1">
      <c r="A6" s="14"/>
      <c r="B6" s="513">
        <v>1.1000000000000001</v>
      </c>
      <c r="C6" s="23" t="s">
        <v>515</v>
      </c>
      <c r="D6" s="23"/>
      <c r="E6" s="271"/>
      <c r="F6" s="23"/>
      <c r="G6" s="23"/>
      <c r="H6" s="23"/>
      <c r="I6" s="23"/>
      <c r="J6" s="23"/>
      <c r="K6" s="23"/>
      <c r="L6" s="23"/>
      <c r="M6" s="23"/>
      <c r="N6" s="14"/>
      <c r="O6" s="147"/>
      <c r="Q6" s="147"/>
      <c r="R6" s="147"/>
      <c r="S6" s="147"/>
      <c r="T6" s="147"/>
      <c r="U6" s="147"/>
      <c r="V6" s="147"/>
      <c r="W6" s="147"/>
      <c r="X6" s="147"/>
      <c r="Y6" s="29">
        <f>メイン!O31</f>
        <v>0</v>
      </c>
    </row>
    <row r="7" spans="1:25" ht="16.5" customHeight="1" thickBot="1">
      <c r="A7" s="2"/>
      <c r="B7" s="137"/>
      <c r="C7" s="21"/>
      <c r="D7" s="115"/>
      <c r="E7" s="271"/>
      <c r="F7" s="125"/>
      <c r="I7" s="23"/>
      <c r="J7" s="23"/>
      <c r="K7" s="23"/>
      <c r="L7" s="148" t="s">
        <v>2</v>
      </c>
      <c r="M7" s="38">
        <f>重み!M36</f>
        <v>0.3</v>
      </c>
      <c r="N7" s="2"/>
      <c r="O7" s="29">
        <f>C7</f>
        <v>0</v>
      </c>
      <c r="P7" s="29">
        <f>D7</f>
        <v>0</v>
      </c>
      <c r="Q7" s="29">
        <f>E7</f>
        <v>0</v>
      </c>
      <c r="R7" s="29">
        <f>F7</f>
        <v>0</v>
      </c>
      <c r="S7" s="29" t="str">
        <f>L7</f>
        <v>重み係数＝</v>
      </c>
      <c r="T7" s="29">
        <f>M7</f>
        <v>0.3</v>
      </c>
      <c r="U7" s="29">
        <f>I7</f>
        <v>0</v>
      </c>
      <c r="V7" s="29">
        <f>J7</f>
        <v>0</v>
      </c>
      <c r="W7" s="29">
        <f>K7</f>
        <v>0</v>
      </c>
      <c r="X7" s="29" t="str">
        <f>L7</f>
        <v>重み係数＝</v>
      </c>
      <c r="Y7" s="29">
        <f>M7</f>
        <v>0.3</v>
      </c>
    </row>
    <row r="8" spans="1:25" ht="16.5" customHeight="1" thickBot="1">
      <c r="A8" s="2"/>
      <c r="B8" s="137"/>
      <c r="C8" s="21"/>
      <c r="D8" s="864">
        <v>5</v>
      </c>
      <c r="E8" s="2934" t="s">
        <v>415</v>
      </c>
      <c r="F8" s="2935"/>
      <c r="G8" s="2935"/>
      <c r="H8" s="2935"/>
      <c r="I8" s="2935"/>
      <c r="J8" s="2935"/>
      <c r="K8" s="2935"/>
      <c r="L8" s="2935"/>
      <c r="M8" s="2936"/>
      <c r="N8" s="2"/>
      <c r="O8" s="121"/>
      <c r="P8" s="29"/>
      <c r="Q8" s="121"/>
      <c r="R8" s="29"/>
      <c r="S8" s="29"/>
      <c r="T8" s="29"/>
      <c r="U8" s="29"/>
      <c r="V8" s="29"/>
      <c r="W8" s="29"/>
      <c r="X8" s="29"/>
      <c r="Y8" s="29"/>
    </row>
    <row r="9" spans="1:25" ht="16.5" customHeight="1">
      <c r="A9" s="2"/>
      <c r="B9" s="137"/>
      <c r="C9" s="21"/>
      <c r="D9" s="25" t="str">
        <f>IF(D8=$Q$14,$R$9,IF(ROUNDDOWN(D8,0)=$Q$9,$S$9,$R$9))</f>
        <v>　レベル　1</v>
      </c>
      <c r="E9" s="438" t="s">
        <v>409</v>
      </c>
      <c r="F9" s="436"/>
      <c r="G9" s="436"/>
      <c r="H9" s="436"/>
      <c r="I9" s="436"/>
      <c r="J9" s="436"/>
      <c r="K9" s="436"/>
      <c r="L9" s="436"/>
      <c r="M9" s="437"/>
      <c r="N9" s="2"/>
      <c r="O9" s="29"/>
      <c r="P9" s="491" t="s">
        <v>68</v>
      </c>
      <c r="Q9" s="276">
        <v>1</v>
      </c>
      <c r="R9" s="279" t="s">
        <v>486</v>
      </c>
      <c r="S9" s="277" t="s">
        <v>82</v>
      </c>
      <c r="T9" s="29"/>
      <c r="U9" s="491">
        <f>$Q$9</f>
        <v>1</v>
      </c>
      <c r="V9" s="29"/>
      <c r="W9" s="29"/>
      <c r="X9" s="29"/>
      <c r="Y9" s="29"/>
    </row>
    <row r="10" spans="1:25" ht="16.5" customHeight="1">
      <c r="A10" s="2"/>
      <c r="B10" s="137"/>
      <c r="C10" s="21"/>
      <c r="D10" s="28" t="str">
        <f>IF(D8=$Q$14,$R$10,IF(ROUNDDOWN(D8,0)=$Q$10,$S$10,$R$10))</f>
        <v>　レベル　2</v>
      </c>
      <c r="E10" s="439" t="s">
        <v>409</v>
      </c>
      <c r="F10" s="430"/>
      <c r="G10" s="430"/>
      <c r="H10" s="430"/>
      <c r="I10" s="430"/>
      <c r="J10" s="430"/>
      <c r="K10" s="430"/>
      <c r="L10" s="430"/>
      <c r="M10" s="431"/>
      <c r="N10" s="2"/>
      <c r="O10" s="29"/>
      <c r="P10" s="491" t="s">
        <v>827</v>
      </c>
      <c r="Q10" s="276">
        <v>2</v>
      </c>
      <c r="R10" s="279" t="s">
        <v>487</v>
      </c>
      <c r="S10" s="277" t="s">
        <v>83</v>
      </c>
      <c r="T10" s="29"/>
      <c r="U10" s="491">
        <f>$Q$10</f>
        <v>2</v>
      </c>
      <c r="V10" s="29"/>
      <c r="W10" s="29"/>
      <c r="X10" s="29"/>
      <c r="Y10" s="29"/>
    </row>
    <row r="11" spans="1:25" ht="16.5" customHeight="1">
      <c r="A11" s="2"/>
      <c r="B11" s="137"/>
      <c r="C11" s="21"/>
      <c r="D11" s="28" t="str">
        <f>IF(D8=$Q$14,$R$11,IF(ROUNDDOWN(D8,0)=$Q$11,$S$11,$R$11))</f>
        <v>　レベル　3</v>
      </c>
      <c r="E11" s="439" t="s">
        <v>643</v>
      </c>
      <c r="F11" s="430"/>
      <c r="G11" s="430"/>
      <c r="H11" s="430"/>
      <c r="I11" s="430"/>
      <c r="J11" s="430"/>
      <c r="K11" s="430"/>
      <c r="L11" s="430"/>
      <c r="M11" s="431"/>
      <c r="N11" s="2"/>
      <c r="O11" s="29"/>
      <c r="P11" s="491">
        <f>$Q$11</f>
        <v>3</v>
      </c>
      <c r="Q11" s="276">
        <v>3</v>
      </c>
      <c r="R11" s="279" t="s">
        <v>488</v>
      </c>
      <c r="S11" s="277" t="s">
        <v>84</v>
      </c>
      <c r="T11" s="29"/>
      <c r="U11" s="491">
        <f>$Q$11</f>
        <v>3</v>
      </c>
      <c r="V11" s="29"/>
      <c r="W11" s="29"/>
      <c r="X11" s="29"/>
      <c r="Y11" s="29"/>
    </row>
    <row r="12" spans="1:25" ht="16.5" customHeight="1">
      <c r="A12" s="2"/>
      <c r="B12" s="137"/>
      <c r="C12" s="21"/>
      <c r="D12" s="28" t="str">
        <f>IF(D8=$Q$14,$R$12,IF(ROUNDDOWN(D8,0)=$Q$12,$S$12,$R$12))</f>
        <v>　レベル　4</v>
      </c>
      <c r="E12" s="2995" t="s">
        <v>644</v>
      </c>
      <c r="F12" s="2996"/>
      <c r="G12" s="2996"/>
      <c r="H12" s="2996"/>
      <c r="I12" s="2996"/>
      <c r="J12" s="2996"/>
      <c r="K12" s="2996"/>
      <c r="L12" s="2996"/>
      <c r="M12" s="2997"/>
      <c r="N12" s="2"/>
      <c r="O12" s="29"/>
      <c r="P12" s="491">
        <f>$Q$12</f>
        <v>4</v>
      </c>
      <c r="Q12" s="276">
        <v>4</v>
      </c>
      <c r="R12" s="279" t="s">
        <v>489</v>
      </c>
      <c r="S12" s="277" t="s">
        <v>85</v>
      </c>
      <c r="T12" s="29"/>
      <c r="U12" s="491">
        <f>$Q$12</f>
        <v>4</v>
      </c>
      <c r="V12" s="29"/>
      <c r="W12" s="29"/>
      <c r="X12" s="29"/>
      <c r="Y12" s="29"/>
    </row>
    <row r="13" spans="1:25" ht="16.5" customHeight="1">
      <c r="A13" s="2"/>
      <c r="B13" s="137"/>
      <c r="C13" s="21"/>
      <c r="D13" s="26" t="str">
        <f>IF(D8=$Q$14,$R$13,IF(ROUNDDOWN(D8,0)=$Q$13,$S$13,$R$13))</f>
        <v>■レベル　5</v>
      </c>
      <c r="E13" s="2998" t="s">
        <v>645</v>
      </c>
      <c r="F13" s="2999"/>
      <c r="G13" s="2999"/>
      <c r="H13" s="2999"/>
      <c r="I13" s="2999"/>
      <c r="J13" s="2999"/>
      <c r="K13" s="2999"/>
      <c r="L13" s="2999"/>
      <c r="M13" s="3000"/>
      <c r="N13" s="2"/>
      <c r="O13" s="29"/>
      <c r="P13" s="491">
        <f>$Q$13</f>
        <v>5</v>
      </c>
      <c r="Q13" s="276">
        <v>5</v>
      </c>
      <c r="R13" s="279" t="s">
        <v>490</v>
      </c>
      <c r="S13" s="277" t="s">
        <v>86</v>
      </c>
      <c r="T13" s="29"/>
      <c r="U13" s="491">
        <f>$Q$13</f>
        <v>5</v>
      </c>
      <c r="V13" s="29"/>
      <c r="W13" s="29"/>
      <c r="X13" s="29"/>
      <c r="Y13" s="29"/>
    </row>
    <row r="14" spans="1:25" s="29" customFormat="1" ht="8.25" customHeight="1">
      <c r="A14" s="19"/>
      <c r="B14" s="137"/>
      <c r="C14" s="504"/>
      <c r="D14" s="270"/>
      <c r="E14" s="270"/>
      <c r="F14" s="2"/>
      <c r="G14" s="2"/>
      <c r="H14" s="2"/>
      <c r="I14" s="2"/>
      <c r="J14" s="2"/>
      <c r="K14" s="2"/>
      <c r="L14" s="2"/>
      <c r="M14" s="2"/>
      <c r="N14" s="22"/>
      <c r="P14" s="491" t="s">
        <v>68</v>
      </c>
      <c r="Q14" s="284" t="s">
        <v>87</v>
      </c>
      <c r="R14" s="4"/>
      <c r="S14" s="4"/>
      <c r="T14" s="113"/>
    </row>
    <row r="15" spans="1:25" s="29" customFormat="1" ht="21" customHeight="1">
      <c r="A15" s="19"/>
      <c r="B15" s="137"/>
      <c r="C15" s="504"/>
      <c r="E15" s="646" t="s">
        <v>3</v>
      </c>
      <c r="F15" s="647"/>
      <c r="G15" s="2441"/>
      <c r="H15" s="2442"/>
      <c r="I15" s="990"/>
      <c r="J15" s="990"/>
      <c r="K15" s="990"/>
      <c r="L15" s="990"/>
      <c r="M15" s="991"/>
      <c r="N15" s="22"/>
      <c r="P15" s="511"/>
      <c r="Q15" s="284"/>
      <c r="R15" s="4"/>
      <c r="S15" s="4"/>
      <c r="T15" s="113"/>
      <c r="U15" s="511"/>
      <c r="V15" s="113"/>
      <c r="W15" s="113"/>
      <c r="X15" s="113"/>
      <c r="Y15" s="113"/>
    </row>
    <row r="16" spans="1:25" ht="14.25" customHeight="1">
      <c r="A16" s="2"/>
      <c r="B16" s="137"/>
      <c r="C16" s="21"/>
      <c r="D16" s="19"/>
      <c r="E16" s="507"/>
      <c r="H16" s="19"/>
      <c r="I16" s="23"/>
      <c r="J16" s="23"/>
      <c r="K16" s="23"/>
      <c r="L16" s="23"/>
      <c r="M16" s="23"/>
      <c r="N16" s="2"/>
      <c r="O16" s="29"/>
      <c r="P16" s="511"/>
      <c r="Q16" s="519"/>
      <c r="T16" s="29"/>
      <c r="U16" s="511"/>
      <c r="V16" s="29"/>
      <c r="W16" s="29"/>
      <c r="X16" s="29"/>
      <c r="Y16" s="29"/>
    </row>
    <row r="17" spans="1:25" ht="19.5" customHeight="1" thickBot="1">
      <c r="A17" s="2"/>
      <c r="B17" s="513">
        <v>1.2</v>
      </c>
      <c r="C17" s="23" t="s">
        <v>566</v>
      </c>
      <c r="D17" s="23"/>
      <c r="E17" s="19"/>
      <c r="F17" s="19"/>
      <c r="G17" s="19"/>
      <c r="H17" s="19"/>
      <c r="I17" s="19"/>
      <c r="J17" s="19"/>
      <c r="K17" s="19"/>
      <c r="L17" s="19"/>
      <c r="M17" s="19"/>
      <c r="N17" s="2"/>
      <c r="O17" s="29"/>
      <c r="P17" s="335"/>
      <c r="Q17" s="403"/>
      <c r="R17" s="403"/>
      <c r="S17" s="403"/>
      <c r="T17" s="29"/>
      <c r="U17" s="335"/>
      <c r="V17" s="29"/>
      <c r="W17" s="29"/>
      <c r="X17" s="29"/>
      <c r="Y17" s="29"/>
    </row>
    <row r="18" spans="1:25" ht="16.5" customHeight="1" thickBot="1">
      <c r="A18" s="2"/>
      <c r="B18" s="19"/>
      <c r="C18" s="19"/>
      <c r="D18" s="866">
        <f>IF(D19+L29&lt;=5,D19+L29,5)</f>
        <v>5</v>
      </c>
      <c r="E18" s="361"/>
      <c r="F18" s="125"/>
      <c r="I18" s="19"/>
      <c r="J18" s="19"/>
      <c r="K18" s="19"/>
      <c r="L18" s="148" t="s">
        <v>2</v>
      </c>
      <c r="M18" s="38">
        <f>重み!M37</f>
        <v>0.1</v>
      </c>
      <c r="N18" s="2"/>
      <c r="O18" s="29">
        <f t="shared" ref="O18:Y18" si="0">C18</f>
        <v>0</v>
      </c>
      <c r="P18" s="29">
        <f t="shared" si="0"/>
        <v>5</v>
      </c>
      <c r="Q18" s="29">
        <f t="shared" si="0"/>
        <v>0</v>
      </c>
      <c r="R18" s="29">
        <f t="shared" si="0"/>
        <v>0</v>
      </c>
      <c r="S18" s="29">
        <f t="shared" si="0"/>
        <v>0</v>
      </c>
      <c r="T18" s="29">
        <f t="shared" si="0"/>
        <v>0</v>
      </c>
      <c r="U18" s="29">
        <f t="shared" si="0"/>
        <v>0</v>
      </c>
      <c r="V18" s="29">
        <f t="shared" si="0"/>
        <v>0</v>
      </c>
      <c r="W18" s="29">
        <f t="shared" si="0"/>
        <v>0</v>
      </c>
      <c r="X18" s="29" t="str">
        <f t="shared" si="0"/>
        <v>重み係数＝</v>
      </c>
      <c r="Y18" s="29">
        <f t="shared" si="0"/>
        <v>0.1</v>
      </c>
    </row>
    <row r="19" spans="1:25" ht="16.5" customHeight="1" thickBot="1">
      <c r="A19" s="2"/>
      <c r="B19" s="19"/>
      <c r="C19" s="19"/>
      <c r="D19" s="864">
        <v>4</v>
      </c>
      <c r="E19" s="2934" t="s">
        <v>415</v>
      </c>
      <c r="F19" s="2935"/>
      <c r="G19" s="2935"/>
      <c r="H19" s="2935"/>
      <c r="I19" s="2935"/>
      <c r="J19" s="2935"/>
      <c r="K19" s="2935"/>
      <c r="L19" s="2935"/>
      <c r="M19" s="2936"/>
      <c r="N19" s="2"/>
      <c r="O19" s="121"/>
      <c r="P19" s="29"/>
      <c r="Q19" s="121"/>
      <c r="R19" s="29"/>
      <c r="S19" s="29"/>
      <c r="T19" s="29"/>
      <c r="U19" s="29"/>
      <c r="V19" s="29"/>
      <c r="W19" s="29"/>
      <c r="X19" s="29"/>
      <c r="Y19" s="29"/>
    </row>
    <row r="20" spans="1:25" ht="16.5" customHeight="1">
      <c r="A20" s="2"/>
      <c r="B20" s="19"/>
      <c r="C20" s="19"/>
      <c r="D20" s="25" t="str">
        <f>IF(D19=$Q$14,$R$9,IF(ROUNDDOWN(D19,0)=$Q$9,$S$9,$R$9))</f>
        <v>　レベル　1</v>
      </c>
      <c r="E20" s="439" t="s">
        <v>964</v>
      </c>
      <c r="F20" s="39"/>
      <c r="G20" s="39"/>
      <c r="H20" s="39"/>
      <c r="I20" s="39"/>
      <c r="J20" s="39"/>
      <c r="K20" s="39"/>
      <c r="L20" s="802"/>
      <c r="M20" s="803"/>
      <c r="N20" s="2"/>
      <c r="O20" s="121"/>
      <c r="P20" s="491">
        <f>$Q$9</f>
        <v>1</v>
      </c>
      <c r="Q20" s="121"/>
      <c r="R20" s="29"/>
      <c r="S20" s="29"/>
      <c r="T20" s="29"/>
      <c r="U20" s="491">
        <f>$Q$9</f>
        <v>1</v>
      </c>
      <c r="V20" s="29"/>
      <c r="W20" s="29"/>
      <c r="X20" s="29"/>
      <c r="Y20" s="29"/>
    </row>
    <row r="21" spans="1:25" ht="16.5" customHeight="1">
      <c r="A21" s="2"/>
      <c r="B21" s="137"/>
      <c r="C21" s="19"/>
      <c r="D21" s="28" t="str">
        <f>IF(D19=$Q$14,$R$10,IF(ROUNDDOWN(D19,0)=$Q$10,$S$10,$R$10))</f>
        <v>　レベル　2</v>
      </c>
      <c r="E21" s="439" t="s">
        <v>569</v>
      </c>
      <c r="F21" s="2635"/>
      <c r="G21" s="2635"/>
      <c r="H21" s="2635"/>
      <c r="I21" s="2635"/>
      <c r="J21" s="2635"/>
      <c r="K21" s="2635"/>
      <c r="L21" s="798"/>
      <c r="M21" s="799"/>
      <c r="N21" s="2"/>
      <c r="O21" s="121"/>
      <c r="P21" s="491">
        <f>$Q$10</f>
        <v>2</v>
      </c>
      <c r="Q21" s="121"/>
      <c r="R21" s="29"/>
      <c r="S21" s="29"/>
      <c r="T21" s="29"/>
      <c r="U21" s="491">
        <f>$Q$10</f>
        <v>2</v>
      </c>
      <c r="V21" s="29"/>
      <c r="W21" s="29"/>
      <c r="X21" s="29"/>
      <c r="Y21" s="29"/>
    </row>
    <row r="22" spans="1:25" ht="16.5" customHeight="1">
      <c r="A22" s="2"/>
      <c r="B22" s="137"/>
      <c r="C22" s="19"/>
      <c r="D22" s="28" t="str">
        <f>IF(D19=$Q$14,$R$11,IF(ROUNDDOWN(D19,0)=$Q$11,$S$11,$R$11))</f>
        <v>　レベル　3</v>
      </c>
      <c r="E22" s="439" t="s">
        <v>570</v>
      </c>
      <c r="F22" s="489"/>
      <c r="G22" s="489"/>
      <c r="H22" s="489"/>
      <c r="I22" s="489"/>
      <c r="J22" s="489"/>
      <c r="K22" s="489"/>
      <c r="L22" s="798"/>
      <c r="M22" s="799"/>
      <c r="N22" s="2"/>
      <c r="O22" s="121"/>
      <c r="P22" s="491">
        <f>$Q$11</f>
        <v>3</v>
      </c>
      <c r="Q22" s="121"/>
      <c r="R22" s="29"/>
      <c r="S22" s="29"/>
      <c r="T22" s="29"/>
      <c r="U22" s="491">
        <f>$Q$11</f>
        <v>3</v>
      </c>
      <c r="V22" s="29"/>
      <c r="W22" s="29"/>
      <c r="X22" s="29"/>
      <c r="Y22" s="29"/>
    </row>
    <row r="23" spans="1:25">
      <c r="A23" s="2"/>
      <c r="B23" s="137"/>
      <c r="C23" s="19"/>
      <c r="D23" s="28" t="str">
        <f>IF(D19=$Q$14,$R$12,IF(ROUNDDOWN(D19,0)=$Q$12,$S$12,$R$12))</f>
        <v>■レベル　4</v>
      </c>
      <c r="E23" s="451" t="s">
        <v>965</v>
      </c>
      <c r="F23" s="2630"/>
      <c r="G23" s="2630"/>
      <c r="H23" s="2630"/>
      <c r="I23" s="2630"/>
      <c r="J23" s="2630"/>
      <c r="K23" s="2630"/>
      <c r="L23" s="798"/>
      <c r="M23" s="799"/>
      <c r="N23" s="2"/>
      <c r="O23" s="121"/>
      <c r="P23" s="491">
        <f>$Q$12</f>
        <v>4</v>
      </c>
      <c r="Q23" s="121"/>
      <c r="R23" s="29"/>
      <c r="S23" s="29"/>
      <c r="T23" s="29"/>
      <c r="U23" s="491">
        <f>$Q$12</f>
        <v>4</v>
      </c>
      <c r="V23" s="29"/>
      <c r="W23" s="29"/>
      <c r="X23" s="29"/>
      <c r="Y23" s="29"/>
    </row>
    <row r="24" spans="1:25">
      <c r="A24" s="2"/>
      <c r="B24" s="137"/>
      <c r="C24" s="19"/>
      <c r="D24" s="26" t="str">
        <f>IF(D19=$Q$14,$R$13,IF(ROUNDDOWN(D19,0)=$Q$13,$S$13,$R$13))</f>
        <v>　レベル　5</v>
      </c>
      <c r="E24" s="473" t="s">
        <v>236</v>
      </c>
      <c r="F24" s="2632"/>
      <c r="G24" s="2632"/>
      <c r="H24" s="2632"/>
      <c r="I24" s="2632"/>
      <c r="J24" s="2632"/>
      <c r="K24" s="2632"/>
      <c r="L24" s="800"/>
      <c r="M24" s="801"/>
      <c r="N24" s="2"/>
      <c r="O24" s="121"/>
      <c r="P24" s="491" t="s">
        <v>402</v>
      </c>
      <c r="Q24" s="121"/>
      <c r="R24" s="29"/>
      <c r="S24" s="29"/>
      <c r="T24" s="29"/>
      <c r="U24" s="491">
        <f>$Q$13</f>
        <v>5</v>
      </c>
      <c r="V24" s="29"/>
      <c r="W24" s="29"/>
      <c r="X24" s="29"/>
      <c r="Y24" s="29"/>
    </row>
    <row r="25" spans="1:25" ht="16.2" thickBot="1">
      <c r="A25" s="2"/>
      <c r="B25" s="137"/>
      <c r="C25" s="19"/>
      <c r="D25" s="19"/>
      <c r="E25" s="874" t="s">
        <v>376</v>
      </c>
      <c r="F25" s="19"/>
      <c r="G25" s="19"/>
      <c r="H25" s="19"/>
      <c r="I25" s="19"/>
      <c r="J25" s="19"/>
      <c r="K25" s="19"/>
      <c r="L25" s="19"/>
      <c r="M25" s="19"/>
      <c r="N25" s="2"/>
      <c r="O25" s="121"/>
      <c r="P25" s="491" t="s">
        <v>68</v>
      </c>
      <c r="Q25" s="284" t="s">
        <v>87</v>
      </c>
      <c r="R25" s="29"/>
      <c r="S25" s="29"/>
      <c r="T25" s="29"/>
      <c r="U25" s="491" t="str">
        <f>$Q$14</f>
        <v>対象外</v>
      </c>
      <c r="V25" s="29"/>
      <c r="W25" s="29"/>
      <c r="X25" s="29"/>
      <c r="Y25" s="29"/>
    </row>
    <row r="26" spans="1:25" ht="24" customHeight="1">
      <c r="A26" s="2"/>
      <c r="B26" s="137"/>
      <c r="C26" s="19"/>
      <c r="D26" s="19"/>
      <c r="E26" s="619" t="s">
        <v>687</v>
      </c>
      <c r="F26" s="429" t="s">
        <v>4</v>
      </c>
      <c r="G26" s="2937" t="s">
        <v>377</v>
      </c>
      <c r="H26" s="2938"/>
      <c r="I26" s="2938"/>
      <c r="J26" s="2938"/>
      <c r="K26" s="2938"/>
      <c r="L26" s="2938"/>
      <c r="M26" s="2939"/>
      <c r="N26" s="2"/>
      <c r="O26" s="121"/>
      <c r="P26" s="511"/>
      <c r="Q26" s="121"/>
      <c r="R26" s="29"/>
      <c r="S26" s="29"/>
      <c r="T26" s="29"/>
      <c r="U26" s="511"/>
      <c r="V26" s="29"/>
      <c r="W26" s="29"/>
      <c r="X26" s="29"/>
      <c r="Y26" s="29"/>
    </row>
    <row r="27" spans="1:25" ht="24" customHeight="1">
      <c r="A27" s="2"/>
      <c r="B27" s="137"/>
      <c r="C27" s="19"/>
      <c r="D27" s="19"/>
      <c r="E27" s="449" t="s">
        <v>687</v>
      </c>
      <c r="F27" s="464" t="s">
        <v>5</v>
      </c>
      <c r="G27" s="2967" t="s">
        <v>378</v>
      </c>
      <c r="H27" s="2968"/>
      <c r="I27" s="2968"/>
      <c r="J27" s="2968"/>
      <c r="K27" s="2968"/>
      <c r="L27" s="2968"/>
      <c r="M27" s="2969"/>
      <c r="N27" s="2"/>
      <c r="O27" s="121"/>
      <c r="P27" s="511"/>
      <c r="Q27" s="121"/>
      <c r="R27" s="29"/>
      <c r="S27" s="29"/>
      <c r="T27" s="29"/>
      <c r="U27" s="511"/>
      <c r="V27" s="29"/>
      <c r="W27" s="29"/>
      <c r="X27" s="29"/>
      <c r="Y27" s="29"/>
    </row>
    <row r="28" spans="1:25" ht="16.2" thickBot="1">
      <c r="A28" s="2"/>
      <c r="B28" s="137"/>
      <c r="C28" s="19"/>
      <c r="D28" s="19"/>
      <c r="E28" s="479"/>
      <c r="F28" s="650" t="s">
        <v>6</v>
      </c>
      <c r="G28" s="473" t="s">
        <v>379</v>
      </c>
      <c r="H28" s="459"/>
      <c r="I28" s="459"/>
      <c r="J28" s="459"/>
      <c r="K28" s="459"/>
      <c r="L28" s="459"/>
      <c r="M28" s="648"/>
      <c r="N28" s="2"/>
      <c r="O28" s="121"/>
      <c r="P28" s="511"/>
      <c r="Q28" s="121"/>
      <c r="R28" s="29"/>
      <c r="S28" s="29"/>
      <c r="T28" s="29"/>
      <c r="U28" s="511"/>
      <c r="V28" s="29"/>
      <c r="W28" s="29"/>
      <c r="X28" s="29"/>
      <c r="Y28" s="29"/>
    </row>
    <row r="29" spans="1:25" ht="16.5" customHeight="1">
      <c r="A29" s="2"/>
      <c r="B29" s="137"/>
      <c r="C29" s="19"/>
      <c r="D29" s="19"/>
      <c r="E29" s="661"/>
      <c r="F29" s="444"/>
      <c r="G29" s="444"/>
      <c r="H29" s="444"/>
      <c r="I29" s="444"/>
      <c r="J29" s="444"/>
      <c r="K29" s="444" t="s">
        <v>400</v>
      </c>
      <c r="L29" s="873">
        <f>IF(COUNTIF(E26:E28,U3)&gt;0,1,0)</f>
        <v>1</v>
      </c>
      <c r="M29" s="443" t="s">
        <v>401</v>
      </c>
      <c r="N29" s="2"/>
      <c r="O29" s="121"/>
      <c r="P29" s="511"/>
      <c r="Q29" s="121"/>
      <c r="R29" s="29"/>
      <c r="S29" s="29"/>
      <c r="T29" s="29"/>
      <c r="U29" s="511"/>
      <c r="V29" s="29"/>
      <c r="W29" s="29"/>
      <c r="X29" s="29"/>
      <c r="Y29" s="29"/>
    </row>
    <row r="30" spans="1:25" s="29" customFormat="1" ht="8.25" customHeight="1">
      <c r="A30" s="19"/>
      <c r="B30" s="137"/>
      <c r="C30" s="504"/>
      <c r="D30" s="270"/>
      <c r="E30" s="270"/>
      <c r="F30" s="2"/>
      <c r="G30" s="2"/>
      <c r="H30" s="2"/>
      <c r="I30" s="2"/>
      <c r="J30" s="2"/>
      <c r="K30" s="2"/>
      <c r="L30" s="2"/>
      <c r="M30" s="2"/>
      <c r="N30" s="22"/>
      <c r="P30"/>
      <c r="Q30"/>
      <c r="R30" s="4"/>
      <c r="S30" s="4"/>
      <c r="T30" s="113"/>
    </row>
    <row r="31" spans="1:25" s="29" customFormat="1" ht="21" customHeight="1">
      <c r="A31" s="19"/>
      <c r="B31" s="137"/>
      <c r="C31" s="504"/>
      <c r="E31" s="646" t="s">
        <v>3</v>
      </c>
      <c r="F31" s="647"/>
      <c r="G31" s="2441"/>
      <c r="H31" s="2442"/>
      <c r="I31" s="990"/>
      <c r="J31" s="990"/>
      <c r="K31" s="990"/>
      <c r="L31" s="990"/>
      <c r="M31" s="991"/>
      <c r="N31" s="22"/>
      <c r="P31" s="511"/>
      <c r="Q31" s="284"/>
      <c r="R31" s="4"/>
      <c r="S31" s="4"/>
      <c r="T31" s="113"/>
      <c r="U31" s="511"/>
      <c r="V31" s="113"/>
      <c r="W31" s="113"/>
      <c r="X31" s="113"/>
      <c r="Y31" s="113"/>
    </row>
    <row r="32" spans="1:25">
      <c r="A32" s="2"/>
      <c r="B32" s="137"/>
      <c r="C32" s="19"/>
      <c r="D32" s="19"/>
      <c r="E32" s="503"/>
      <c r="F32" s="19"/>
      <c r="G32" s="19"/>
      <c r="H32" s="19"/>
      <c r="I32" s="19"/>
      <c r="J32" s="19"/>
      <c r="K32" s="19"/>
      <c r="L32" s="19"/>
      <c r="M32" s="19"/>
      <c r="N32" s="2"/>
      <c r="O32" s="121"/>
      <c r="P32" s="511"/>
      <c r="Q32" s="121"/>
      <c r="R32" s="29"/>
      <c r="S32" s="29"/>
      <c r="T32" s="29"/>
      <c r="U32" s="511"/>
      <c r="V32" s="29"/>
      <c r="W32" s="29"/>
      <c r="X32" s="29"/>
      <c r="Y32" s="29"/>
    </row>
    <row r="33" spans="1:25" ht="17.25" customHeight="1" thickBot="1">
      <c r="A33" s="2"/>
      <c r="B33" s="513">
        <v>1.3</v>
      </c>
      <c r="C33" s="23" t="s">
        <v>238</v>
      </c>
      <c r="D33" s="23"/>
      <c r="E33" s="19"/>
      <c r="F33" s="19"/>
      <c r="G33" s="19"/>
      <c r="H33" s="19"/>
      <c r="I33" s="19"/>
      <c r="J33" s="19"/>
      <c r="K33" s="19"/>
      <c r="L33" s="19"/>
      <c r="M33" s="19"/>
      <c r="N33" s="2"/>
      <c r="O33" s="121"/>
      <c r="P33" s="335"/>
      <c r="Q33" s="121"/>
      <c r="R33" s="29"/>
      <c r="S33" s="29"/>
      <c r="T33" s="29"/>
      <c r="U33" s="335"/>
      <c r="V33" s="29"/>
      <c r="W33" s="29"/>
      <c r="X33" s="29"/>
      <c r="Y33" s="29"/>
    </row>
    <row r="34" spans="1:25" ht="16.5" customHeight="1" thickBot="1">
      <c r="A34" s="2"/>
      <c r="B34" s="137"/>
      <c r="C34" s="19"/>
      <c r="D34" s="866">
        <f>IF(D35+L47&lt;=5,D35+L47,5)</f>
        <v>5</v>
      </c>
      <c r="E34" s="361"/>
      <c r="F34" s="125"/>
      <c r="I34" s="19"/>
      <c r="J34" s="19"/>
      <c r="K34" s="19"/>
      <c r="L34" s="148" t="s">
        <v>2</v>
      </c>
      <c r="M34" s="38">
        <f>重み!M38</f>
        <v>0.1</v>
      </c>
      <c r="N34" s="2"/>
      <c r="O34" s="29">
        <f t="shared" ref="O34:Y34" si="1">C34</f>
        <v>0</v>
      </c>
      <c r="P34" s="29">
        <f>D34</f>
        <v>5</v>
      </c>
      <c r="Q34" s="29">
        <f t="shared" si="1"/>
        <v>0</v>
      </c>
      <c r="R34" s="29">
        <f t="shared" si="1"/>
        <v>0</v>
      </c>
      <c r="S34" s="29">
        <f t="shared" si="1"/>
        <v>0</v>
      </c>
      <c r="T34" s="29">
        <f t="shared" si="1"/>
        <v>0</v>
      </c>
      <c r="U34" s="29">
        <f t="shared" si="1"/>
        <v>0</v>
      </c>
      <c r="V34" s="29">
        <f t="shared" si="1"/>
        <v>0</v>
      </c>
      <c r="W34" s="29">
        <f t="shared" si="1"/>
        <v>0</v>
      </c>
      <c r="X34" s="29" t="str">
        <f t="shared" si="1"/>
        <v>重み係数＝</v>
      </c>
      <c r="Y34" s="29">
        <f t="shared" si="1"/>
        <v>0.1</v>
      </c>
    </row>
    <row r="35" spans="1:25" ht="16.5" customHeight="1" thickBot="1">
      <c r="A35" s="2"/>
      <c r="B35" s="137"/>
      <c r="C35" s="19"/>
      <c r="D35" s="865">
        <v>4</v>
      </c>
      <c r="E35" s="2934" t="s">
        <v>415</v>
      </c>
      <c r="F35" s="2935"/>
      <c r="G35" s="2935"/>
      <c r="H35" s="2935"/>
      <c r="I35" s="2935"/>
      <c r="J35" s="2935"/>
      <c r="K35" s="2935"/>
      <c r="L35" s="2935"/>
      <c r="M35" s="2936"/>
      <c r="N35" s="2"/>
      <c r="O35" s="121"/>
      <c r="P35" s="29"/>
      <c r="Q35" s="121"/>
      <c r="R35" s="29"/>
      <c r="S35" s="29"/>
      <c r="T35" s="29"/>
      <c r="U35" s="29"/>
      <c r="V35" s="29"/>
      <c r="W35" s="29"/>
      <c r="X35" s="29"/>
      <c r="Y35" s="29"/>
    </row>
    <row r="36" spans="1:25" ht="16.5" customHeight="1">
      <c r="A36" s="2"/>
      <c r="B36" s="137"/>
      <c r="C36" s="19"/>
      <c r="D36" s="25" t="str">
        <f>IF(D35=$Q$14,$R$9,IF(ROUNDDOWN(D35,0)=$Q$9,$S$9,$R$9))</f>
        <v>　レベル　1</v>
      </c>
      <c r="E36" s="139" t="s">
        <v>964</v>
      </c>
      <c r="F36" s="39"/>
      <c r="G36" s="39"/>
      <c r="H36" s="39"/>
      <c r="I36" s="39"/>
      <c r="J36" s="39"/>
      <c r="K36" s="39"/>
      <c r="L36" s="802"/>
      <c r="M36" s="803"/>
      <c r="N36" s="2"/>
      <c r="O36" s="121"/>
      <c r="P36" s="491">
        <f>$Q$9</f>
        <v>1</v>
      </c>
      <c r="Q36" s="121"/>
      <c r="R36" s="29"/>
      <c r="S36" s="29"/>
      <c r="T36" s="29"/>
      <c r="U36" s="491">
        <f>$Q$9</f>
        <v>1</v>
      </c>
      <c r="V36" s="29"/>
      <c r="W36" s="29"/>
      <c r="X36" s="29"/>
      <c r="Y36" s="29"/>
    </row>
    <row r="37" spans="1:25" ht="16.5" customHeight="1">
      <c r="A37" s="2"/>
      <c r="B37" s="137"/>
      <c r="C37" s="19"/>
      <c r="D37" s="28" t="str">
        <f>IF(D35=$Q$14,$R$10,IF(ROUNDDOWN(D35,0)=$Q$10,$S$10,$R$10))</f>
        <v>　レベル　2</v>
      </c>
      <c r="E37" s="141" t="s">
        <v>569</v>
      </c>
      <c r="F37" s="2635"/>
      <c r="G37" s="2635"/>
      <c r="H37" s="2635"/>
      <c r="I37" s="2635"/>
      <c r="J37" s="2635"/>
      <c r="K37" s="2635"/>
      <c r="L37" s="798"/>
      <c r="M37" s="799"/>
      <c r="N37" s="2"/>
      <c r="O37" s="121"/>
      <c r="P37" s="491">
        <f>$Q$10</f>
        <v>2</v>
      </c>
      <c r="Q37" s="121"/>
      <c r="R37" s="29"/>
      <c r="S37" s="29"/>
      <c r="T37" s="29"/>
      <c r="U37" s="491">
        <f>$Q$10</f>
        <v>2</v>
      </c>
      <c r="V37" s="29"/>
      <c r="W37" s="29"/>
      <c r="X37" s="29"/>
      <c r="Y37" s="29"/>
    </row>
    <row r="38" spans="1:25" ht="16.5" customHeight="1">
      <c r="A38" s="2"/>
      <c r="B38" s="137"/>
      <c r="C38" s="19"/>
      <c r="D38" s="28" t="str">
        <f>IF(D35=$Q$14,$R$11,IF(ROUNDDOWN(D35,0)=$Q$11,$S$11,$R$11))</f>
        <v>　レベル　3</v>
      </c>
      <c r="E38" s="141" t="s">
        <v>570</v>
      </c>
      <c r="F38" s="2635"/>
      <c r="G38" s="2635"/>
      <c r="H38" s="2635"/>
      <c r="I38" s="2635"/>
      <c r="J38" s="2635"/>
      <c r="K38" s="489"/>
      <c r="L38" s="798"/>
      <c r="M38" s="799"/>
      <c r="N38" s="2"/>
      <c r="O38" s="121"/>
      <c r="P38" s="491">
        <f>$Q$11</f>
        <v>3</v>
      </c>
      <c r="Q38" s="121"/>
      <c r="R38" s="29"/>
      <c r="S38" s="29"/>
      <c r="T38" s="29"/>
      <c r="U38" s="491">
        <f>$Q$11</f>
        <v>3</v>
      </c>
      <c r="V38" s="29"/>
      <c r="W38" s="29"/>
      <c r="X38" s="29"/>
      <c r="Y38" s="29"/>
    </row>
    <row r="39" spans="1:25" ht="16.5" customHeight="1">
      <c r="A39" s="2"/>
      <c r="B39" s="137"/>
      <c r="C39" s="19"/>
      <c r="D39" s="28" t="str">
        <f>IF(D35=$Q$14,$R$12,IF(ROUNDDOWN(D35,0)=$Q$12,$S$12,$R$12))</f>
        <v>■レベル　4</v>
      </c>
      <c r="E39" s="141" t="s">
        <v>965</v>
      </c>
      <c r="F39" s="2635"/>
      <c r="G39" s="2635"/>
      <c r="H39" s="2635"/>
      <c r="I39" s="2635"/>
      <c r="J39" s="2635"/>
      <c r="K39" s="2630"/>
      <c r="L39" s="798"/>
      <c r="M39" s="799"/>
      <c r="N39" s="2"/>
      <c r="O39" s="121"/>
      <c r="P39" s="491">
        <f>$Q$12</f>
        <v>4</v>
      </c>
      <c r="Q39" s="121"/>
      <c r="R39" s="29"/>
      <c r="S39" s="29"/>
      <c r="T39" s="29"/>
      <c r="U39" s="491">
        <f>$Q$12</f>
        <v>4</v>
      </c>
      <c r="V39" s="29"/>
      <c r="W39" s="29"/>
      <c r="X39" s="29"/>
      <c r="Y39" s="29"/>
    </row>
    <row r="40" spans="1:25" ht="16.5" customHeight="1">
      <c r="A40" s="2"/>
      <c r="B40" s="137"/>
      <c r="C40" s="19"/>
      <c r="D40" s="26" t="str">
        <f>IF(D35=$Q$14,$R$13,IF(ROUNDDOWN(D35,0)=$Q$13,$S$13,$R$13))</f>
        <v>　レベル　5</v>
      </c>
      <c r="E40" s="473" t="s">
        <v>236</v>
      </c>
      <c r="F40" s="2643"/>
      <c r="G40" s="2643"/>
      <c r="H40" s="2643"/>
      <c r="I40" s="2643"/>
      <c r="J40" s="2643"/>
      <c r="K40" s="2632"/>
      <c r="L40" s="800"/>
      <c r="M40" s="801"/>
      <c r="N40" s="2"/>
      <c r="O40" s="121"/>
      <c r="P40" s="491" t="s">
        <v>402</v>
      </c>
      <c r="Q40" s="121"/>
      <c r="R40" s="29"/>
      <c r="S40" s="29"/>
      <c r="T40" s="29"/>
      <c r="U40" s="491">
        <f>$Q$13</f>
        <v>5</v>
      </c>
      <c r="V40" s="29"/>
      <c r="W40" s="29"/>
      <c r="X40" s="29"/>
      <c r="Y40" s="29"/>
    </row>
    <row r="41" spans="1:25" ht="16.2" thickBot="1">
      <c r="A41" s="2"/>
      <c r="B41" s="137"/>
      <c r="C41" s="19"/>
      <c r="D41" s="19"/>
      <c r="E41" s="874" t="s">
        <v>376</v>
      </c>
      <c r="F41" s="19"/>
      <c r="G41" s="19"/>
      <c r="H41" s="19"/>
      <c r="I41" s="19"/>
      <c r="J41" s="19"/>
      <c r="K41" s="19"/>
      <c r="L41" s="19"/>
      <c r="M41" s="19"/>
      <c r="N41" s="2"/>
      <c r="O41" s="121"/>
      <c r="P41" s="491" t="s">
        <v>68</v>
      </c>
      <c r="Q41" s="284" t="s">
        <v>87</v>
      </c>
      <c r="R41" s="29"/>
      <c r="S41" s="29"/>
      <c r="T41" s="29"/>
      <c r="U41" s="491" t="str">
        <f>$Q$14</f>
        <v>対象外</v>
      </c>
      <c r="V41" s="29"/>
      <c r="W41" s="29"/>
      <c r="X41" s="29"/>
      <c r="Y41" s="29"/>
    </row>
    <row r="42" spans="1:25" ht="24" customHeight="1" thickBot="1">
      <c r="A42" s="2"/>
      <c r="B42" s="137"/>
      <c r="C42" s="19"/>
      <c r="D42" s="19"/>
      <c r="E42" s="1060"/>
      <c r="F42" s="656" t="s">
        <v>381</v>
      </c>
      <c r="G42" s="654"/>
      <c r="H42" s="654"/>
      <c r="I42" s="653" t="s">
        <v>387</v>
      </c>
      <c r="J42" s="654"/>
      <c r="K42" s="654"/>
      <c r="L42" s="654"/>
      <c r="M42" s="656"/>
      <c r="N42" s="2"/>
      <c r="O42" s="121"/>
      <c r="P42" s="659" t="s">
        <v>398</v>
      </c>
      <c r="Q42" s="659" t="s">
        <v>399</v>
      </c>
      <c r="R42" s="29"/>
      <c r="S42" s="29"/>
      <c r="T42" s="29"/>
      <c r="U42" s="511"/>
      <c r="V42" s="29"/>
      <c r="W42" s="29"/>
      <c r="X42" s="29"/>
      <c r="Y42" s="29"/>
    </row>
    <row r="43" spans="1:25" ht="56.25" customHeight="1">
      <c r="A43" s="2"/>
      <c r="B43" s="137"/>
      <c r="C43" s="19"/>
      <c r="D43" s="19"/>
      <c r="E43" s="330" t="s">
        <v>687</v>
      </c>
      <c r="F43" s="652" t="s">
        <v>7</v>
      </c>
      <c r="G43" s="2937" t="s">
        <v>380</v>
      </c>
      <c r="H43" s="2939"/>
      <c r="I43" s="658" t="s">
        <v>388</v>
      </c>
      <c r="J43" s="482" t="s">
        <v>7</v>
      </c>
      <c r="K43" s="2937" t="s">
        <v>383</v>
      </c>
      <c r="L43" s="2938"/>
      <c r="M43" s="2939"/>
      <c r="N43" s="2"/>
      <c r="O43" s="121"/>
      <c r="Q43" s="121"/>
      <c r="R43" s="29"/>
      <c r="S43" s="29"/>
      <c r="T43" s="29"/>
      <c r="U43" s="511"/>
      <c r="V43" s="29"/>
      <c r="W43" s="29"/>
      <c r="X43" s="29"/>
      <c r="Y43" s="29"/>
    </row>
    <row r="44" spans="1:25" ht="37.5" customHeight="1">
      <c r="A44" s="2"/>
      <c r="B44" s="137"/>
      <c r="C44" s="19"/>
      <c r="D44" s="19"/>
      <c r="E44" s="660"/>
      <c r="F44" s="466" t="s">
        <v>5</v>
      </c>
      <c r="G44" s="2963" t="s">
        <v>382</v>
      </c>
      <c r="H44" s="2965"/>
      <c r="I44" s="657"/>
      <c r="J44" s="484" t="s">
        <v>5</v>
      </c>
      <c r="K44" s="2963" t="s">
        <v>384</v>
      </c>
      <c r="L44" s="2964"/>
      <c r="M44" s="2965"/>
      <c r="N44" s="2"/>
      <c r="O44" s="121"/>
      <c r="P44" s="4">
        <f>COUNTIF(E43:E44,U3)</f>
        <v>1</v>
      </c>
      <c r="Q44" s="121"/>
      <c r="R44" s="29"/>
      <c r="S44" s="29"/>
      <c r="T44" s="29"/>
      <c r="U44" s="511"/>
      <c r="V44" s="29"/>
      <c r="W44" s="29"/>
      <c r="X44" s="29"/>
      <c r="Y44" s="29"/>
    </row>
    <row r="45" spans="1:25">
      <c r="A45" s="2"/>
      <c r="B45" s="137"/>
      <c r="C45" s="19"/>
      <c r="D45" s="19"/>
      <c r="E45" s="640"/>
      <c r="F45" s="652"/>
      <c r="G45" s="452"/>
      <c r="H45" s="453"/>
      <c r="I45" s="658" t="s">
        <v>397</v>
      </c>
      <c r="J45" s="482" t="s">
        <v>7</v>
      </c>
      <c r="K45" s="453" t="s">
        <v>385</v>
      </c>
      <c r="L45" s="453"/>
      <c r="M45" s="455"/>
      <c r="N45" s="2"/>
      <c r="O45" s="121"/>
      <c r="P45" s="511"/>
      <c r="Q45" s="121"/>
      <c r="R45" s="29"/>
      <c r="S45" s="29"/>
      <c r="T45" s="29"/>
      <c r="U45" s="511"/>
      <c r="V45" s="29"/>
      <c r="W45" s="29"/>
      <c r="X45" s="29"/>
      <c r="Y45" s="29"/>
    </row>
    <row r="46" spans="1:25" ht="16.2" thickBot="1">
      <c r="A46" s="2"/>
      <c r="B46" s="137"/>
      <c r="C46" s="19"/>
      <c r="D46" s="19"/>
      <c r="E46" s="331"/>
      <c r="F46" s="466"/>
      <c r="G46" s="460"/>
      <c r="H46" s="444"/>
      <c r="I46" s="657" t="s">
        <v>396</v>
      </c>
      <c r="J46" s="484" t="s">
        <v>5</v>
      </c>
      <c r="K46" s="444" t="s">
        <v>386</v>
      </c>
      <c r="L46" s="444"/>
      <c r="M46" s="443"/>
      <c r="N46" s="2"/>
      <c r="O46" s="121"/>
      <c r="P46" s="4">
        <f>COUNTIF(E45:E46,U3)</f>
        <v>0</v>
      </c>
      <c r="Q46" s="121"/>
      <c r="R46" s="29"/>
      <c r="S46" s="29"/>
      <c r="T46" s="29"/>
      <c r="U46" s="511"/>
      <c r="V46" s="29"/>
      <c r="W46" s="29"/>
      <c r="X46" s="29"/>
      <c r="Y46" s="29"/>
    </row>
    <row r="47" spans="1:25" ht="17.25" customHeight="1">
      <c r="A47" s="2"/>
      <c r="B47" s="137"/>
      <c r="C47" s="19"/>
      <c r="D47" s="19"/>
      <c r="E47" s="661"/>
      <c r="F47" s="444"/>
      <c r="G47" s="444"/>
      <c r="H47" s="444"/>
      <c r="I47" s="444"/>
      <c r="J47" s="444"/>
      <c r="K47" s="444" t="s">
        <v>400</v>
      </c>
      <c r="L47" s="873">
        <f>IF(E42=P42,IF(P44&gt;0,1,0),IF(P44&gt;0,1,0)+IF(P46&gt;0,1,0))</f>
        <v>1</v>
      </c>
      <c r="M47" s="443" t="s">
        <v>401</v>
      </c>
      <c r="N47" s="2"/>
      <c r="O47" s="121"/>
      <c r="P47" s="511"/>
      <c r="Q47" s="121"/>
      <c r="R47" s="29"/>
      <c r="S47" s="29"/>
      <c r="T47" s="29"/>
      <c r="U47" s="511"/>
      <c r="V47" s="29"/>
      <c r="W47" s="29"/>
      <c r="X47" s="29"/>
      <c r="Y47" s="29"/>
    </row>
    <row r="48" spans="1:25" s="29" customFormat="1" ht="8.25" customHeight="1">
      <c r="A48" s="19"/>
      <c r="B48" s="137"/>
      <c r="C48" s="504"/>
      <c r="D48" s="270"/>
      <c r="E48" s="270"/>
      <c r="F48" s="2"/>
      <c r="G48" s="2"/>
      <c r="H48" s="2"/>
      <c r="I48" s="2"/>
      <c r="J48" s="2"/>
      <c r="K48" s="2"/>
      <c r="L48" s="2"/>
      <c r="M48" s="2"/>
      <c r="N48" s="22"/>
      <c r="P48"/>
      <c r="Q48"/>
      <c r="R48"/>
      <c r="S48"/>
      <c r="T48" s="113"/>
    </row>
    <row r="49" spans="1:25" s="29" customFormat="1" ht="21" customHeight="1">
      <c r="A49" s="19"/>
      <c r="B49" s="137"/>
      <c r="C49" s="504"/>
      <c r="E49" s="646" t="s">
        <v>3</v>
      </c>
      <c r="F49" s="647"/>
      <c r="G49" s="2441"/>
      <c r="H49" s="2442"/>
      <c r="I49" s="990"/>
      <c r="J49" s="990"/>
      <c r="K49" s="990"/>
      <c r="L49" s="990"/>
      <c r="M49" s="991"/>
      <c r="N49" s="22"/>
      <c r="P49" s="511"/>
      <c r="Q49" s="284"/>
      <c r="R49" s="4"/>
      <c r="S49" s="4"/>
      <c r="T49" s="113"/>
      <c r="U49" s="511"/>
      <c r="V49" s="113"/>
      <c r="W49" s="113"/>
      <c r="X49" s="113"/>
      <c r="Y49" s="113"/>
    </row>
    <row r="50" spans="1:25" hidden="1">
      <c r="A50" s="2"/>
      <c r="B50" s="137"/>
      <c r="C50" s="19"/>
      <c r="D50" s="19"/>
      <c r="E50" s="503"/>
      <c r="F50" s="19"/>
      <c r="G50" s="19"/>
      <c r="H50" s="19"/>
      <c r="I50" s="19"/>
      <c r="J50" s="19"/>
      <c r="K50" s="19"/>
      <c r="L50" s="19"/>
      <c r="M50" s="19"/>
      <c r="N50" s="2"/>
      <c r="O50" s="121"/>
      <c r="P50" s="511"/>
      <c r="Q50" s="121"/>
      <c r="R50" s="29"/>
      <c r="S50" s="29"/>
      <c r="T50" s="29"/>
      <c r="U50" s="511"/>
      <c r="V50" s="29"/>
      <c r="W50" s="29"/>
      <c r="X50" s="29"/>
      <c r="Y50" s="29"/>
    </row>
    <row r="51" spans="1:25" customFormat="1" ht="16.2" hidden="1" thickBot="1">
      <c r="B51" s="2504">
        <f>重み!B39</f>
        <v>0</v>
      </c>
      <c r="C51" s="2504">
        <f>重み!C39</f>
        <v>0</v>
      </c>
      <c r="D51" s="23"/>
      <c r="E51" s="19"/>
      <c r="F51" s="19"/>
      <c r="G51" s="19"/>
      <c r="H51" s="19"/>
      <c r="I51" s="19"/>
      <c r="J51" s="19"/>
      <c r="K51" s="19"/>
      <c r="L51" s="19"/>
      <c r="M51" s="19"/>
    </row>
    <row r="52" spans="1:25" customFormat="1" ht="15" hidden="1" thickBot="1">
      <c r="B52" s="19"/>
      <c r="C52" s="19"/>
      <c r="D52" s="866">
        <f>IF(D53+L67&lt;=5,D53+L67,5)</f>
        <v>4</v>
      </c>
      <c r="E52" s="361"/>
      <c r="F52" s="125"/>
      <c r="G52" s="4"/>
      <c r="H52" s="4"/>
      <c r="I52" s="19"/>
      <c r="J52" s="19"/>
      <c r="K52" s="19"/>
      <c r="L52" s="148" t="s">
        <v>2</v>
      </c>
      <c r="M52" s="38">
        <f>重み!M39</f>
        <v>0</v>
      </c>
    </row>
    <row r="53" spans="1:25" customFormat="1" ht="13.8" hidden="1" thickBot="1">
      <c r="B53" s="19"/>
      <c r="C53" s="19"/>
      <c r="D53" s="2515">
        <v>3</v>
      </c>
      <c r="E53" s="2934" t="s">
        <v>415</v>
      </c>
      <c r="F53" s="2935"/>
      <c r="G53" s="2935"/>
      <c r="H53" s="2935"/>
      <c r="I53" s="2935"/>
      <c r="J53" s="2935"/>
      <c r="K53" s="2935"/>
      <c r="L53" s="2935"/>
      <c r="M53" s="2936"/>
    </row>
    <row r="54" spans="1:25" customFormat="1" ht="13.2" hidden="1">
      <c r="B54" s="19"/>
      <c r="C54" s="19"/>
      <c r="D54" s="25" t="s">
        <v>801</v>
      </c>
      <c r="E54" s="439" t="s">
        <v>409</v>
      </c>
      <c r="F54" s="39"/>
      <c r="G54" s="39"/>
      <c r="H54" s="39"/>
      <c r="I54" s="39"/>
      <c r="J54" s="39"/>
      <c r="K54" s="39"/>
      <c r="L54" s="802"/>
      <c r="M54" s="803"/>
      <c r="P54" s="491" t="s">
        <v>55</v>
      </c>
    </row>
    <row r="55" spans="1:25" customFormat="1" hidden="1">
      <c r="B55" s="137"/>
      <c r="C55" s="19"/>
      <c r="D55" s="28" t="s">
        <v>487</v>
      </c>
      <c r="E55" s="439" t="s">
        <v>409</v>
      </c>
      <c r="F55" s="2635"/>
      <c r="G55" s="2635"/>
      <c r="H55" s="2635"/>
      <c r="I55" s="2635"/>
      <c r="J55" s="2635"/>
      <c r="K55" s="2635"/>
      <c r="L55" s="798"/>
      <c r="M55" s="799"/>
      <c r="P55" s="491" t="s">
        <v>55</v>
      </c>
    </row>
    <row r="56" spans="1:25" customFormat="1" hidden="1">
      <c r="B56" s="137"/>
      <c r="C56" s="19"/>
      <c r="D56" s="28" t="s">
        <v>84</v>
      </c>
      <c r="E56" s="439" t="s">
        <v>1960</v>
      </c>
      <c r="F56" s="489"/>
      <c r="G56" s="489"/>
      <c r="H56" s="489"/>
      <c r="I56" s="489"/>
      <c r="J56" s="489"/>
      <c r="K56" s="489"/>
      <c r="L56" s="798"/>
      <c r="M56" s="799"/>
      <c r="P56" s="491">
        <f>$Q$11</f>
        <v>3</v>
      </c>
    </row>
    <row r="57" spans="1:25" customFormat="1" hidden="1">
      <c r="B57" s="137"/>
      <c r="C57" s="19"/>
      <c r="D57" s="28" t="s">
        <v>489</v>
      </c>
      <c r="E57" s="451" t="s">
        <v>1961</v>
      </c>
      <c r="F57" s="2630"/>
      <c r="G57" s="2630"/>
      <c r="H57" s="2630"/>
      <c r="I57" s="2630"/>
      <c r="J57" s="2630"/>
      <c r="K57" s="2630"/>
      <c r="L57" s="798"/>
      <c r="M57" s="799"/>
      <c r="P57" s="491">
        <f>$Q$12</f>
        <v>4</v>
      </c>
    </row>
    <row r="58" spans="1:25" customFormat="1" hidden="1">
      <c r="B58" s="137"/>
      <c r="C58" s="19"/>
      <c r="D58" s="26" t="s">
        <v>490</v>
      </c>
      <c r="E58" s="473" t="s">
        <v>1962</v>
      </c>
      <c r="F58" s="2632"/>
      <c r="G58" s="2632"/>
      <c r="H58" s="2632"/>
      <c r="I58" s="2632"/>
      <c r="J58" s="2632"/>
      <c r="K58" s="2632"/>
      <c r="L58" s="800"/>
      <c r="M58" s="801"/>
      <c r="P58" s="491" t="s">
        <v>55</v>
      </c>
    </row>
    <row r="59" spans="1:25" customFormat="1" hidden="1">
      <c r="B59" s="137"/>
      <c r="C59" s="19"/>
      <c r="D59" s="19"/>
      <c r="E59" s="874" t="s">
        <v>376</v>
      </c>
      <c r="F59" s="19"/>
      <c r="G59" s="19"/>
      <c r="H59" s="19"/>
      <c r="I59" s="19"/>
      <c r="J59" s="19"/>
      <c r="K59" s="19"/>
      <c r="L59" s="19"/>
      <c r="M59" s="19"/>
      <c r="P59" s="491" t="s">
        <v>55</v>
      </c>
      <c r="Q59" s="284" t="s">
        <v>87</v>
      </c>
    </row>
    <row r="60" spans="1:25" customFormat="1" ht="16.2" hidden="1" thickBot="1">
      <c r="B60" s="137"/>
      <c r="C60" s="19"/>
      <c r="D60" s="19"/>
      <c r="E60" s="119" t="s">
        <v>351</v>
      </c>
      <c r="F60" s="428" t="s">
        <v>78</v>
      </c>
      <c r="G60" s="655" t="s">
        <v>80</v>
      </c>
      <c r="H60" s="654"/>
      <c r="I60" s="654"/>
      <c r="J60" s="654"/>
      <c r="K60" s="654"/>
      <c r="L60" s="654"/>
      <c r="M60" s="656"/>
    </row>
    <row r="61" spans="1:25" customFormat="1" hidden="1">
      <c r="B61" s="137"/>
      <c r="C61" s="19"/>
      <c r="D61" s="19"/>
      <c r="E61" s="619"/>
      <c r="F61" s="429">
        <v>1</v>
      </c>
      <c r="G61" s="457" t="s">
        <v>1963</v>
      </c>
      <c r="H61" s="481"/>
      <c r="I61" s="481"/>
      <c r="J61" s="481"/>
      <c r="K61" s="481"/>
      <c r="L61" s="481"/>
      <c r="M61" s="445"/>
    </row>
    <row r="62" spans="1:25" customFormat="1" hidden="1">
      <c r="B62" s="137"/>
      <c r="C62" s="19"/>
      <c r="D62" s="19"/>
      <c r="E62" s="449" t="s">
        <v>687</v>
      </c>
      <c r="F62" s="464">
        <v>2</v>
      </c>
      <c r="G62" s="438" t="s">
        <v>1964</v>
      </c>
      <c r="H62" s="436"/>
      <c r="I62" s="436"/>
      <c r="J62" s="436"/>
      <c r="K62" s="436"/>
      <c r="L62" s="436"/>
      <c r="M62" s="437"/>
    </row>
    <row r="63" spans="1:25" customFormat="1" hidden="1">
      <c r="B63" s="137"/>
      <c r="C63" s="19"/>
      <c r="D63" s="19"/>
      <c r="E63" s="449"/>
      <c r="F63" s="464">
        <v>3</v>
      </c>
      <c r="G63" s="438" t="s">
        <v>1965</v>
      </c>
      <c r="H63" s="436"/>
      <c r="I63" s="436"/>
      <c r="J63" s="436"/>
      <c r="K63" s="436"/>
      <c r="L63" s="436"/>
      <c r="M63" s="437"/>
    </row>
    <row r="64" spans="1:25" customFormat="1" hidden="1">
      <c r="B64" s="137"/>
      <c r="C64" s="19"/>
      <c r="D64" s="19"/>
      <c r="E64" s="449"/>
      <c r="F64" s="464">
        <v>4</v>
      </c>
      <c r="G64" s="438" t="s">
        <v>1966</v>
      </c>
      <c r="H64" s="436"/>
      <c r="I64" s="436"/>
      <c r="J64" s="436"/>
      <c r="K64" s="436"/>
      <c r="L64" s="436"/>
      <c r="M64" s="437"/>
    </row>
    <row r="65" spans="1:25" customFormat="1" hidden="1">
      <c r="B65" s="137"/>
      <c r="C65" s="19"/>
      <c r="D65" s="19"/>
      <c r="E65" s="449" t="s">
        <v>687</v>
      </c>
      <c r="F65" s="464">
        <v>5</v>
      </c>
      <c r="G65" s="451" t="s">
        <v>1967</v>
      </c>
      <c r="H65" s="641"/>
      <c r="I65" s="641"/>
      <c r="J65" s="641"/>
      <c r="K65" s="641"/>
      <c r="L65" s="641"/>
      <c r="M65" s="642"/>
    </row>
    <row r="66" spans="1:25" customFormat="1" ht="16.2" hidden="1" thickBot="1">
      <c r="B66" s="137"/>
      <c r="C66" s="19"/>
      <c r="D66" s="19"/>
      <c r="E66" s="479"/>
      <c r="F66" s="650">
        <v>6</v>
      </c>
      <c r="G66" s="473" t="s">
        <v>1968</v>
      </c>
      <c r="H66" s="459"/>
      <c r="I66" s="459"/>
      <c r="J66" s="459"/>
      <c r="K66" s="459"/>
      <c r="L66" s="459"/>
      <c r="M66" s="648"/>
    </row>
    <row r="67" spans="1:25" customFormat="1" hidden="1">
      <c r="B67" s="137"/>
      <c r="C67" s="19"/>
      <c r="D67" s="19"/>
      <c r="E67" s="497" t="s">
        <v>250</v>
      </c>
      <c r="F67" s="838">
        <f>COUNTIF(E61:E66,U3)</f>
        <v>2</v>
      </c>
      <c r="G67" s="444"/>
      <c r="H67" s="444"/>
      <c r="I67" s="444"/>
      <c r="J67" s="444"/>
      <c r="K67" s="444" t="s">
        <v>400</v>
      </c>
      <c r="L67" s="873">
        <f>IF(F67&gt;0,1,0)</f>
        <v>1</v>
      </c>
      <c r="M67" s="443" t="s">
        <v>401</v>
      </c>
    </row>
    <row r="68" spans="1:25" customFormat="1" ht="9" hidden="1" customHeight="1">
      <c r="B68" s="137"/>
      <c r="C68" s="504"/>
      <c r="D68" s="270"/>
      <c r="E68" s="270"/>
      <c r="F68" s="2"/>
      <c r="G68" s="2"/>
      <c r="H68" s="2"/>
      <c r="I68" s="2"/>
      <c r="J68" s="2"/>
      <c r="K68" s="2"/>
      <c r="L68" s="2"/>
      <c r="M68" s="2"/>
    </row>
    <row r="69" spans="1:25" customFormat="1" hidden="1">
      <c r="B69" s="137"/>
      <c r="C69" s="504"/>
      <c r="D69" s="29"/>
      <c r="E69" s="646" t="s">
        <v>3</v>
      </c>
      <c r="F69" s="647"/>
      <c r="G69" s="2441"/>
      <c r="H69" s="2442"/>
      <c r="I69" s="990"/>
      <c r="J69" s="990"/>
      <c r="K69" s="990"/>
      <c r="L69" s="990"/>
      <c r="M69" s="991"/>
    </row>
    <row r="70" spans="1:25" customFormat="1" ht="9" customHeight="1">
      <c r="B70" s="137"/>
      <c r="C70" s="137"/>
      <c r="D70" s="137"/>
      <c r="E70" s="137"/>
      <c r="F70" s="137"/>
      <c r="G70" s="137"/>
      <c r="H70" s="137"/>
      <c r="I70" s="137"/>
      <c r="J70" s="137"/>
      <c r="K70" s="137"/>
      <c r="L70" s="137"/>
      <c r="M70" s="137"/>
      <c r="N70" s="137"/>
    </row>
    <row r="71" spans="1:25" s="285" customFormat="1" ht="16.5" customHeight="1">
      <c r="A71" s="14"/>
      <c r="B71" s="2504">
        <f>重み!B40</f>
        <v>1.4</v>
      </c>
      <c r="C71" s="23" t="s">
        <v>516</v>
      </c>
      <c r="D71" s="23"/>
      <c r="E71" s="271"/>
      <c r="F71" s="23"/>
      <c r="G71" s="23"/>
      <c r="H71" s="23"/>
      <c r="I71" s="23"/>
      <c r="J71" s="23"/>
      <c r="K71" s="23"/>
      <c r="L71" s="23"/>
      <c r="M71" s="23"/>
      <c r="N71" s="14"/>
      <c r="O71" s="610"/>
      <c r="P71" s="610"/>
      <c r="Q71" s="610"/>
    </row>
    <row r="72" spans="1:25" ht="16.5" customHeight="1" thickBot="1">
      <c r="A72" s="2"/>
      <c r="B72" s="137"/>
      <c r="C72" s="21"/>
      <c r="D72" s="115"/>
      <c r="E72" s="361"/>
      <c r="F72" s="125"/>
      <c r="I72" s="19"/>
      <c r="J72" s="19"/>
      <c r="K72" s="19"/>
      <c r="L72" s="148" t="s">
        <v>2</v>
      </c>
      <c r="M72" s="38">
        <f>重み!M40</f>
        <v>0.3</v>
      </c>
      <c r="N72" s="2"/>
      <c r="O72" s="29">
        <f>C72</f>
        <v>0</v>
      </c>
      <c r="P72" s="29">
        <f>D72</f>
        <v>0</v>
      </c>
      <c r="Q72" s="29">
        <f>E72</f>
        <v>0</v>
      </c>
      <c r="R72" s="29">
        <f>F72</f>
        <v>0</v>
      </c>
      <c r="S72" s="29" t="str">
        <f>L72</f>
        <v>重み係数＝</v>
      </c>
      <c r="T72" s="29">
        <f>M72</f>
        <v>0.3</v>
      </c>
      <c r="U72" s="29">
        <f>I72</f>
        <v>0</v>
      </c>
      <c r="V72" s="29">
        <f>J72</f>
        <v>0</v>
      </c>
      <c r="W72" s="29">
        <f>K72</f>
        <v>0</v>
      </c>
      <c r="X72" s="29" t="e">
        <f>#REF!</f>
        <v>#REF!</v>
      </c>
      <c r="Y72" s="29" t="e">
        <f>#REF!</f>
        <v>#REF!</v>
      </c>
    </row>
    <row r="73" spans="1:25" ht="16.5" customHeight="1" thickBot="1">
      <c r="A73" s="2"/>
      <c r="B73" s="137"/>
      <c r="C73" s="21"/>
      <c r="D73" s="865">
        <v>3</v>
      </c>
      <c r="E73" s="2934" t="s">
        <v>415</v>
      </c>
      <c r="F73" s="2935"/>
      <c r="G73" s="2935"/>
      <c r="H73" s="2935"/>
      <c r="I73" s="2935"/>
      <c r="J73" s="2935"/>
      <c r="K73" s="2935"/>
      <c r="L73" s="2935"/>
      <c r="M73" s="2936"/>
      <c r="N73" s="2"/>
      <c r="O73" s="121"/>
      <c r="P73" s="29"/>
      <c r="Q73" s="121"/>
      <c r="R73" s="29"/>
      <c r="S73" s="29"/>
      <c r="T73" s="29"/>
      <c r="U73" s="29"/>
      <c r="V73" s="29"/>
      <c r="W73" s="29"/>
      <c r="X73" s="29"/>
      <c r="Y73" s="29"/>
    </row>
    <row r="74" spans="1:25" ht="16.5" customHeight="1">
      <c r="A74" s="2"/>
      <c r="B74" s="137"/>
      <c r="C74" s="21"/>
      <c r="D74" s="401" t="str">
        <f>IF(D73=$Q$14,$R$9,IF(ROUNDDOWN(D73,0)=$Q$9,$S$9,$R$9))</f>
        <v>　レベル　1</v>
      </c>
      <c r="E74" s="438" t="s">
        <v>409</v>
      </c>
      <c r="F74" s="487"/>
      <c r="G74" s="487"/>
      <c r="H74" s="487"/>
      <c r="I74" s="487"/>
      <c r="J74" s="487"/>
      <c r="K74" s="487"/>
      <c r="L74" s="487"/>
      <c r="M74" s="488"/>
      <c r="N74" s="2"/>
      <c r="O74" s="121"/>
      <c r="P74" s="491" t="s">
        <v>827</v>
      </c>
      <c r="Q74" s="121"/>
      <c r="R74" s="29"/>
      <c r="S74" s="29"/>
      <c r="T74" s="29"/>
      <c r="U74" s="491">
        <f>$Q$9</f>
        <v>1</v>
      </c>
      <c r="V74" s="29"/>
      <c r="W74" s="29"/>
      <c r="X74" s="29"/>
      <c r="Y74" s="29"/>
    </row>
    <row r="75" spans="1:25" ht="16.5" customHeight="1">
      <c r="A75" s="2"/>
      <c r="B75" s="137"/>
      <c r="C75" s="21"/>
      <c r="D75" s="31" t="str">
        <f>IF(D73=$Q$14,$R$10,IF(ROUNDDOWN(D73,0)=$Q$10,$S$10,$R$10))</f>
        <v>　レベル　2</v>
      </c>
      <c r="E75" s="439" t="s">
        <v>409</v>
      </c>
      <c r="F75" s="489"/>
      <c r="G75" s="489"/>
      <c r="H75" s="489"/>
      <c r="I75" s="489"/>
      <c r="J75" s="489"/>
      <c r="K75" s="489"/>
      <c r="L75" s="489"/>
      <c r="M75" s="490"/>
      <c r="N75" s="2"/>
      <c r="O75" s="121"/>
      <c r="P75" s="491" t="s">
        <v>841</v>
      </c>
      <c r="Q75" s="121"/>
      <c r="R75" s="29"/>
      <c r="S75" s="29"/>
      <c r="T75" s="29"/>
      <c r="U75" s="491">
        <f>$Q$10</f>
        <v>2</v>
      </c>
      <c r="V75" s="29"/>
      <c r="W75" s="29"/>
      <c r="X75" s="29"/>
      <c r="Y75" s="29"/>
    </row>
    <row r="76" spans="1:25" ht="16.5" customHeight="1">
      <c r="A76" s="2"/>
      <c r="B76" s="137"/>
      <c r="C76" s="21"/>
      <c r="D76" s="31" t="str">
        <f>IF(D73=$Q$14,$R$11,IF(ROUNDDOWN(D73,0)=$Q$11,$S$11,$R$11))</f>
        <v>■レベル　3</v>
      </c>
      <c r="E76" s="439" t="s">
        <v>646</v>
      </c>
      <c r="F76" s="489"/>
      <c r="G76" s="489"/>
      <c r="H76" s="489"/>
      <c r="I76" s="489"/>
      <c r="J76" s="489"/>
      <c r="K76" s="489"/>
      <c r="L76" s="489"/>
      <c r="M76" s="490"/>
      <c r="N76" s="2"/>
      <c r="O76" s="121"/>
      <c r="P76" s="491">
        <f>$Q$11</f>
        <v>3</v>
      </c>
      <c r="Q76" s="121"/>
      <c r="R76" s="29"/>
      <c r="S76" s="29"/>
      <c r="T76" s="29"/>
      <c r="U76" s="491">
        <f>$Q$11</f>
        <v>3</v>
      </c>
      <c r="V76" s="29"/>
      <c r="W76" s="29"/>
      <c r="X76" s="29"/>
      <c r="Y76" s="29"/>
    </row>
    <row r="77" spans="1:25" ht="16.5" customHeight="1">
      <c r="A77" s="2"/>
      <c r="B77" s="137"/>
      <c r="C77" s="21"/>
      <c r="D77" s="31" t="str">
        <f>IF(D73=$Q$14,$R$12,IF(ROUNDDOWN(D73,0)=$Q$12,$S$12,$R$12))</f>
        <v>　レベル　4</v>
      </c>
      <c r="E77" s="451" t="s">
        <v>647</v>
      </c>
      <c r="F77" s="2630"/>
      <c r="G77" s="2630"/>
      <c r="H77" s="2630"/>
      <c r="I77" s="2630"/>
      <c r="J77" s="2630"/>
      <c r="K77" s="2630"/>
      <c r="L77" s="2630"/>
      <c r="M77" s="2631"/>
      <c r="N77" s="2"/>
      <c r="O77" s="121"/>
      <c r="P77" s="491">
        <f>$Q$12</f>
        <v>4</v>
      </c>
      <c r="Q77" s="121"/>
      <c r="R77" s="29"/>
      <c r="S77" s="29"/>
      <c r="T77" s="29"/>
      <c r="U77" s="491">
        <f>$Q$12</f>
        <v>4</v>
      </c>
      <c r="V77" s="29"/>
      <c r="W77" s="29"/>
      <c r="X77" s="29"/>
      <c r="Y77" s="29"/>
    </row>
    <row r="78" spans="1:25" ht="16.5" customHeight="1">
      <c r="A78" s="2"/>
      <c r="B78" s="4"/>
      <c r="C78" s="21"/>
      <c r="D78" s="359" t="str">
        <f>IF(D73=$Q$14,$R$13,IF(ROUNDDOWN(D73,0)=$Q$13,$S$13,$R$13))</f>
        <v>　レベル　5</v>
      </c>
      <c r="E78" s="473" t="s">
        <v>648</v>
      </c>
      <c r="F78" s="2632"/>
      <c r="G78" s="2632"/>
      <c r="H78" s="2632"/>
      <c r="I78" s="2632"/>
      <c r="J78" s="2632"/>
      <c r="K78" s="2632"/>
      <c r="L78" s="2632"/>
      <c r="M78" s="2633"/>
      <c r="N78" s="2"/>
      <c r="O78" s="121"/>
      <c r="P78" s="491">
        <f>$Q$13</f>
        <v>5</v>
      </c>
      <c r="Q78" s="121"/>
      <c r="R78" s="29"/>
      <c r="S78" s="29"/>
      <c r="T78" s="29"/>
      <c r="U78" s="491">
        <f>$Q$13</f>
        <v>5</v>
      </c>
      <c r="V78" s="29"/>
      <c r="W78" s="29"/>
      <c r="X78" s="29"/>
      <c r="Y78" s="29"/>
    </row>
    <row r="79" spans="1:25" s="29" customFormat="1" ht="8.25" customHeight="1">
      <c r="A79" s="19"/>
      <c r="B79" s="137"/>
      <c r="C79" s="504"/>
      <c r="D79" s="270"/>
      <c r="E79" s="270"/>
      <c r="F79" s="2"/>
      <c r="G79" s="2"/>
      <c r="H79" s="2"/>
      <c r="I79" s="2"/>
      <c r="J79" s="2"/>
      <c r="K79" s="2"/>
      <c r="L79" s="2"/>
      <c r="M79" s="2"/>
      <c r="N79" s="22"/>
      <c r="P79" s="491" t="s">
        <v>68</v>
      </c>
      <c r="Q79" s="284" t="s">
        <v>87</v>
      </c>
      <c r="R79" s="4"/>
      <c r="S79" s="4"/>
      <c r="T79" s="113"/>
    </row>
    <row r="80" spans="1:25" s="29" customFormat="1" ht="21" customHeight="1">
      <c r="A80" s="19"/>
      <c r="B80" s="137"/>
      <c r="C80" s="504"/>
      <c r="E80" s="646" t="s">
        <v>3</v>
      </c>
      <c r="F80" s="647"/>
      <c r="G80" s="2441"/>
      <c r="H80" s="2442"/>
      <c r="I80" s="990"/>
      <c r="J80" s="990"/>
      <c r="K80" s="990"/>
      <c r="L80" s="990"/>
      <c r="M80" s="991"/>
      <c r="N80" s="22"/>
      <c r="P80" s="511"/>
      <c r="Q80" s="284"/>
      <c r="R80" s="4"/>
      <c r="S80" s="4"/>
      <c r="T80" s="113"/>
      <c r="U80" s="511"/>
      <c r="V80" s="113"/>
      <c r="W80" s="113"/>
      <c r="X80" s="113"/>
      <c r="Y80" s="113"/>
    </row>
    <row r="81" spans="1:25" ht="14.25" customHeight="1">
      <c r="A81" s="2"/>
      <c r="B81" s="137"/>
      <c r="C81" s="19"/>
      <c r="D81" s="19"/>
      <c r="E81" s="507"/>
      <c r="H81" s="19"/>
      <c r="I81" s="23"/>
      <c r="J81" s="23"/>
      <c r="K81" s="23"/>
      <c r="L81" s="23"/>
      <c r="M81" s="23"/>
      <c r="N81" s="2"/>
      <c r="O81" s="121"/>
      <c r="P81" s="511"/>
      <c r="Q81" s="121"/>
      <c r="R81" s="29"/>
      <c r="S81" s="29"/>
      <c r="T81" s="29"/>
      <c r="U81" s="511"/>
      <c r="V81" s="29"/>
      <c r="W81" s="29"/>
      <c r="X81" s="29"/>
      <c r="Y81" s="29"/>
    </row>
    <row r="82" spans="1:25" s="285" customFormat="1" ht="16.5" customHeight="1">
      <c r="A82" s="14"/>
      <c r="B82" s="2517">
        <f>重み!B41</f>
        <v>1.5</v>
      </c>
      <c r="C82" s="23" t="s">
        <v>517</v>
      </c>
      <c r="D82" s="23"/>
      <c r="E82" s="271"/>
      <c r="F82" s="23"/>
      <c r="G82" s="23"/>
      <c r="H82" s="23"/>
      <c r="I82" s="23"/>
      <c r="J82" s="23"/>
      <c r="K82" s="23"/>
      <c r="L82" s="23"/>
      <c r="M82" s="23"/>
      <c r="N82" s="14"/>
      <c r="O82" s="610"/>
      <c r="P82" s="610"/>
      <c r="Q82" s="610"/>
    </row>
    <row r="83" spans="1:25" ht="16.5" customHeight="1" thickBot="1">
      <c r="A83" s="2"/>
      <c r="B83" s="137"/>
      <c r="C83" s="27"/>
      <c r="D83" s="513" t="str">
        <f>重み!B42</f>
        <v>1.5.1</v>
      </c>
      <c r="E83" s="513" t="str">
        <f>重み!C42</f>
        <v>火災に耐える構造</v>
      </c>
      <c r="F83" s="125"/>
      <c r="L83" s="148" t="s">
        <v>2</v>
      </c>
      <c r="M83" s="38">
        <f>重み!M42</f>
        <v>0.65</v>
      </c>
      <c r="O83" s="29">
        <f>C83</f>
        <v>0</v>
      </c>
      <c r="P83" s="29" t="str">
        <f>D83</f>
        <v>1.5.1</v>
      </c>
      <c r="Q83" s="29" t="str">
        <f>E83</f>
        <v>火災に耐える構造</v>
      </c>
      <c r="R83" s="29">
        <f>F83</f>
        <v>0</v>
      </c>
      <c r="S83" s="29" t="str">
        <f>L83</f>
        <v>重み係数＝</v>
      </c>
      <c r="T83" s="29">
        <f>M83</f>
        <v>0.65</v>
      </c>
    </row>
    <row r="84" spans="1:25" ht="16.5" customHeight="1" thickBot="1">
      <c r="A84" s="2"/>
      <c r="B84" s="137"/>
      <c r="C84" s="27"/>
      <c r="D84" s="865">
        <v>1</v>
      </c>
      <c r="E84" s="2934" t="s">
        <v>415</v>
      </c>
      <c r="F84" s="2935"/>
      <c r="G84" s="2935"/>
      <c r="H84" s="2935"/>
      <c r="I84" s="2935"/>
      <c r="J84" s="2935"/>
      <c r="K84" s="2935"/>
      <c r="L84" s="2935"/>
      <c r="M84" s="2936"/>
      <c r="N84" s="2"/>
      <c r="O84" s="121"/>
      <c r="P84" s="29"/>
      <c r="Q84" s="121"/>
      <c r="R84" s="29"/>
      <c r="S84" s="29"/>
      <c r="T84" s="29"/>
    </row>
    <row r="85" spans="1:25" ht="16.5" customHeight="1">
      <c r="A85" s="2"/>
      <c r="B85" s="137"/>
      <c r="C85" s="37"/>
      <c r="D85" s="401" t="str">
        <f>IF(D84=$Q$14,$R$9,IF(ROUNDDOWN(D84,0)=$Q$9,$S$9,$R$9))</f>
        <v>■レベル　1</v>
      </c>
      <c r="E85" s="522" t="s">
        <v>649</v>
      </c>
      <c r="F85" s="2644"/>
      <c r="G85" s="2644"/>
      <c r="H85" s="2644"/>
      <c r="I85" s="2644"/>
      <c r="J85" s="2644"/>
      <c r="K85" s="2644"/>
      <c r="L85" s="2644"/>
      <c r="M85" s="2645"/>
      <c r="N85" s="2"/>
      <c r="O85" s="121"/>
      <c r="P85" s="491">
        <f>$Q$9</f>
        <v>1</v>
      </c>
      <c r="Q85" s="121"/>
      <c r="R85" s="29"/>
      <c r="S85" s="29"/>
      <c r="T85" s="29"/>
    </row>
    <row r="86" spans="1:25" ht="16.5" customHeight="1">
      <c r="A86" s="2"/>
      <c r="B86" s="137"/>
      <c r="C86" s="37"/>
      <c r="D86" s="31" t="str">
        <f>IF(D84=$Q$14,$R$10,IF(ROUNDDOWN(D84,0)=$Q$10,$S$10,$R$10))</f>
        <v>　レベル　2</v>
      </c>
      <c r="E86" s="146" t="s">
        <v>409</v>
      </c>
      <c r="F86" s="2635"/>
      <c r="G86" s="2635"/>
      <c r="H86" s="2635"/>
      <c r="I86" s="2635"/>
      <c r="J86" s="2635"/>
      <c r="K86" s="2635"/>
      <c r="L86" s="2635"/>
      <c r="M86" s="2646"/>
      <c r="N86" s="2"/>
      <c r="O86" s="121"/>
      <c r="P86" s="491" t="s">
        <v>841</v>
      </c>
      <c r="Q86" s="121"/>
      <c r="R86" s="29"/>
      <c r="S86" s="29"/>
      <c r="T86" s="29"/>
    </row>
    <row r="87" spans="1:25" ht="16.5" customHeight="1">
      <c r="A87" s="2"/>
      <c r="B87" s="137"/>
      <c r="C87" s="37"/>
      <c r="D87" s="31" t="str">
        <f>IF(D84=$Q$14,$R$11,IF(ROUNDDOWN(D84,0)=$Q$11,$S$11,$R$11))</f>
        <v>　レベル　3</v>
      </c>
      <c r="E87" s="146" t="s">
        <v>650</v>
      </c>
      <c r="F87" s="2626"/>
      <c r="G87" s="2626"/>
      <c r="H87" s="2626"/>
      <c r="I87" s="2626"/>
      <c r="J87" s="2626"/>
      <c r="K87" s="2626"/>
      <c r="L87" s="2626"/>
      <c r="M87" s="2627"/>
      <c r="N87" s="2"/>
      <c r="O87" s="121"/>
      <c r="P87" s="491">
        <f>$Q$11</f>
        <v>3</v>
      </c>
      <c r="Q87" s="121"/>
      <c r="R87" s="29"/>
      <c r="S87" s="29"/>
      <c r="T87" s="29"/>
    </row>
    <row r="88" spans="1:25" ht="16.5" customHeight="1">
      <c r="A88" s="2"/>
      <c r="B88" s="137"/>
      <c r="C88" s="37"/>
      <c r="D88" s="31" t="str">
        <f>IF(D84=$Q$14,$R$12,IF(ROUNDDOWN(D84,0)=$Q$12,$S$12,$R$12))</f>
        <v>　レベル　4</v>
      </c>
      <c r="E88" s="146" t="s">
        <v>651</v>
      </c>
      <c r="F88" s="2626"/>
      <c r="G88" s="2626"/>
      <c r="H88" s="2626"/>
      <c r="I88" s="2626"/>
      <c r="J88" s="2626"/>
      <c r="K88" s="2626"/>
      <c r="L88" s="2626"/>
      <c r="M88" s="2627"/>
      <c r="N88" s="2"/>
      <c r="O88" s="121"/>
      <c r="P88" s="491">
        <f>$Q$12</f>
        <v>4</v>
      </c>
      <c r="Q88" s="121"/>
      <c r="R88" s="29"/>
      <c r="S88" s="29"/>
      <c r="T88" s="29"/>
    </row>
    <row r="89" spans="1:25" ht="16.5" customHeight="1">
      <c r="A89" s="2"/>
      <c r="B89" s="137"/>
      <c r="C89" s="37"/>
      <c r="D89" s="359" t="str">
        <f>IF(D84=$Q$14,$R$13,IF(ROUNDDOWN(D84,0)=$Q$13,$S$13,$R$13))</f>
        <v>　レベル　5</v>
      </c>
      <c r="E89" s="645" t="s">
        <v>652</v>
      </c>
      <c r="F89" s="2628"/>
      <c r="G89" s="2628"/>
      <c r="H89" s="2628"/>
      <c r="I89" s="2628"/>
      <c r="J89" s="2628"/>
      <c r="K89" s="2628"/>
      <c r="L89" s="2628"/>
      <c r="M89" s="2629"/>
      <c r="N89" s="2"/>
      <c r="O89" s="121"/>
      <c r="P89" s="491">
        <f>$Q$13</f>
        <v>5</v>
      </c>
      <c r="Q89" s="121"/>
      <c r="R89" s="29"/>
      <c r="S89" s="29"/>
      <c r="T89" s="29"/>
    </row>
    <row r="90" spans="1:25" s="29" customFormat="1" ht="8.25" customHeight="1">
      <c r="A90" s="19"/>
      <c r="B90" s="137"/>
      <c r="C90" s="504"/>
      <c r="D90" s="270"/>
      <c r="E90" s="270"/>
      <c r="F90" s="2"/>
      <c r="G90" s="2"/>
      <c r="H90" s="2"/>
      <c r="I90" s="2"/>
      <c r="J90" s="2"/>
      <c r="K90" s="2"/>
      <c r="L90" s="2"/>
      <c r="M90" s="2"/>
      <c r="N90" s="22"/>
      <c r="P90" s="986" t="s">
        <v>87</v>
      </c>
      <c r="Q90" s="284" t="s">
        <v>87</v>
      </c>
      <c r="R90" s="4"/>
      <c r="S90" s="4"/>
      <c r="T90" s="113"/>
    </row>
    <row r="91" spans="1:25" s="29" customFormat="1" ht="21" customHeight="1">
      <c r="A91" s="19"/>
      <c r="B91" s="137"/>
      <c r="C91" s="504"/>
      <c r="E91" s="646" t="s">
        <v>3</v>
      </c>
      <c r="F91" s="647"/>
      <c r="G91" s="2441"/>
      <c r="H91" s="2442"/>
      <c r="I91" s="990"/>
      <c r="J91" s="990"/>
      <c r="K91" s="990"/>
      <c r="L91" s="990"/>
      <c r="M91" s="991"/>
      <c r="N91" s="22"/>
      <c r="P91" s="511"/>
      <c r="Q91" s="284"/>
      <c r="R91" s="4"/>
      <c r="S91" s="4"/>
      <c r="T91" s="113"/>
      <c r="U91" s="511"/>
      <c r="V91" s="113"/>
      <c r="W91" s="113"/>
      <c r="X91" s="113"/>
      <c r="Y91" s="113"/>
    </row>
    <row r="92" spans="1:25" hidden="1">
      <c r="A92" s="2"/>
      <c r="B92" s="137"/>
      <c r="C92" s="19"/>
      <c r="D92" s="266"/>
      <c r="E92" s="507"/>
      <c r="H92" s="19"/>
      <c r="I92" s="23"/>
      <c r="J92" s="23"/>
      <c r="K92" s="23"/>
      <c r="L92" s="23"/>
      <c r="M92" s="23"/>
      <c r="N92" s="2"/>
      <c r="O92" s="121"/>
      <c r="P92" s="511"/>
      <c r="Q92" s="121"/>
      <c r="R92" s="29"/>
      <c r="S92" s="29"/>
      <c r="T92" s="29"/>
      <c r="U92" s="511"/>
      <c r="V92" s="29"/>
      <c r="W92" s="29"/>
      <c r="X92" s="29"/>
      <c r="Y92" s="29"/>
    </row>
    <row r="93" spans="1:25" ht="16.5" hidden="1" customHeight="1" thickBot="1">
      <c r="A93" s="2"/>
      <c r="B93" s="137"/>
      <c r="C93" s="27"/>
      <c r="D93" s="513">
        <f>重み!B43</f>
        <v>0</v>
      </c>
      <c r="E93" s="513">
        <f>重み!C43</f>
        <v>0</v>
      </c>
      <c r="F93" s="125"/>
      <c r="L93" s="148" t="s">
        <v>2</v>
      </c>
      <c r="M93" s="38">
        <f>重み!M43</f>
        <v>0</v>
      </c>
      <c r="O93" s="29">
        <f>C93</f>
        <v>0</v>
      </c>
      <c r="P93" s="29">
        <f>D93</f>
        <v>0</v>
      </c>
      <c r="Q93" s="29">
        <f>E93</f>
        <v>0</v>
      </c>
      <c r="R93" s="29">
        <f>F93</f>
        <v>0</v>
      </c>
      <c r="S93" s="29" t="str">
        <f>L93</f>
        <v>重み係数＝</v>
      </c>
      <c r="T93" s="29">
        <f>M93</f>
        <v>0</v>
      </c>
    </row>
    <row r="94" spans="1:25" ht="16.5" hidden="1" customHeight="1" thickBot="1">
      <c r="A94" s="2"/>
      <c r="B94" s="137"/>
      <c r="C94" s="27"/>
      <c r="D94" s="865">
        <v>3</v>
      </c>
      <c r="E94" s="2934" t="s">
        <v>415</v>
      </c>
      <c r="F94" s="2935"/>
      <c r="G94" s="2935"/>
      <c r="H94" s="2935"/>
      <c r="I94" s="2935"/>
      <c r="J94" s="2935"/>
      <c r="K94" s="2935"/>
      <c r="L94" s="2935"/>
      <c r="M94" s="2936"/>
      <c r="N94" s="2"/>
      <c r="O94" s="121"/>
      <c r="P94" s="29"/>
      <c r="Q94" s="121"/>
      <c r="R94" s="29"/>
      <c r="S94" s="29"/>
      <c r="T94" s="29"/>
    </row>
    <row r="95" spans="1:25" ht="16.5" hidden="1" customHeight="1">
      <c r="A95" s="2"/>
      <c r="B95" s="137"/>
      <c r="C95" s="37"/>
      <c r="D95" s="401" t="str">
        <f>IF(D94=$Q$14,$R$9,IF(ROUNDDOWN(D94,0)=$Q$9,$S$9,$R$9))</f>
        <v>　レベル　1</v>
      </c>
      <c r="E95" s="522" t="s">
        <v>1969</v>
      </c>
      <c r="F95" s="2644"/>
      <c r="G95" s="2644"/>
      <c r="H95" s="2644"/>
      <c r="I95" s="2644"/>
      <c r="J95" s="2644"/>
      <c r="K95" s="2644"/>
      <c r="L95" s="2644"/>
      <c r="M95" s="2645"/>
      <c r="N95" s="2"/>
      <c r="O95" s="121"/>
      <c r="P95" s="491">
        <f>$Q$9</f>
        <v>1</v>
      </c>
      <c r="Q95" s="121"/>
      <c r="R95" s="29"/>
      <c r="S95" s="29"/>
      <c r="T95" s="29"/>
    </row>
    <row r="96" spans="1:25" ht="16.5" hidden="1" customHeight="1">
      <c r="A96" s="2"/>
      <c r="B96" s="137"/>
      <c r="C96" s="37"/>
      <c r="D96" s="31" t="str">
        <f>IF(D94=$Q$14,$R$10,IF(ROUNDDOWN(D94,0)=$Q$10,$S$10,$R$10))</f>
        <v>　レベル　2</v>
      </c>
      <c r="E96" s="146" t="s">
        <v>409</v>
      </c>
      <c r="F96" s="2635"/>
      <c r="G96" s="2635"/>
      <c r="H96" s="2635"/>
      <c r="I96" s="2635"/>
      <c r="J96" s="2635"/>
      <c r="K96" s="2635"/>
      <c r="L96" s="2635"/>
      <c r="M96" s="2646"/>
      <c r="N96" s="2"/>
      <c r="O96" s="121"/>
      <c r="P96" s="491" t="s">
        <v>55</v>
      </c>
      <c r="Q96" s="121"/>
      <c r="R96" s="29"/>
      <c r="S96" s="29"/>
      <c r="T96" s="29"/>
    </row>
    <row r="97" spans="1:25" ht="16.5" hidden="1" customHeight="1">
      <c r="A97" s="2"/>
      <c r="B97" s="137"/>
      <c r="C97" s="37"/>
      <c r="D97" s="31" t="str">
        <f>IF(D94=$Q$14,$R$11,IF(ROUNDDOWN(D94,0)=$Q$11,$S$11,$R$11))</f>
        <v>■レベル　3</v>
      </c>
      <c r="E97" s="146" t="s">
        <v>1970</v>
      </c>
      <c r="F97" s="2626"/>
      <c r="G97" s="2626"/>
      <c r="H97" s="2626"/>
      <c r="I97" s="2626"/>
      <c r="J97" s="2626"/>
      <c r="K97" s="2626"/>
      <c r="L97" s="2626"/>
      <c r="M97" s="2627"/>
      <c r="N97" s="2"/>
      <c r="O97" s="121"/>
      <c r="P97" s="491">
        <f>$Q$11</f>
        <v>3</v>
      </c>
      <c r="Q97" s="121"/>
      <c r="R97" s="29"/>
      <c r="S97" s="29"/>
      <c r="T97" s="29"/>
    </row>
    <row r="98" spans="1:25" ht="16.5" hidden="1" customHeight="1">
      <c r="A98" s="2"/>
      <c r="B98" s="137"/>
      <c r="C98" s="37"/>
      <c r="D98" s="31" t="str">
        <f>IF(D94=$Q$14,$R$12,IF(ROUNDDOWN(D94,0)=$Q$12,$S$12,$R$12))</f>
        <v>　レベル　4</v>
      </c>
      <c r="E98" s="146" t="s">
        <v>1971</v>
      </c>
      <c r="F98" s="2626"/>
      <c r="G98" s="2626"/>
      <c r="H98" s="2626"/>
      <c r="I98" s="2626"/>
      <c r="J98" s="2626"/>
      <c r="K98" s="2626"/>
      <c r="L98" s="2626"/>
      <c r="M98" s="2627"/>
      <c r="N98" s="2"/>
      <c r="O98" s="121"/>
      <c r="P98" s="491">
        <f>$Q$12</f>
        <v>4</v>
      </c>
      <c r="Q98" s="121"/>
      <c r="R98" s="29"/>
      <c r="S98" s="29"/>
      <c r="T98" s="29"/>
    </row>
    <row r="99" spans="1:25" ht="16.5" hidden="1" customHeight="1">
      <c r="A99" s="2"/>
      <c r="B99" s="137"/>
      <c r="C99" s="37"/>
      <c r="D99" s="359" t="str">
        <f>IF(D94=$Q$14,$R$13,IF(ROUNDDOWN(D94,0)=$Q$13,$S$13,$R$13))</f>
        <v>　レベル　5</v>
      </c>
      <c r="E99" s="645" t="s">
        <v>1972</v>
      </c>
      <c r="F99" s="2628"/>
      <c r="G99" s="2628"/>
      <c r="H99" s="2628"/>
      <c r="I99" s="2628"/>
      <c r="J99" s="2628"/>
      <c r="K99" s="2628"/>
      <c r="L99" s="2628"/>
      <c r="M99" s="2629"/>
      <c r="N99" s="2"/>
      <c r="O99" s="121"/>
      <c r="P99" s="491">
        <f>$Q$13</f>
        <v>5</v>
      </c>
      <c r="Q99" s="121"/>
      <c r="R99" s="29"/>
      <c r="S99" s="29"/>
      <c r="T99" s="29"/>
    </row>
    <row r="100" spans="1:25" s="29" customFormat="1" ht="8.25" hidden="1" customHeight="1">
      <c r="A100" s="19"/>
      <c r="B100" s="137"/>
      <c r="C100" s="504"/>
      <c r="D100" s="270"/>
      <c r="E100" s="270"/>
      <c r="F100" s="2"/>
      <c r="G100" s="2"/>
      <c r="H100" s="2"/>
      <c r="I100" s="2"/>
      <c r="J100" s="2"/>
      <c r="K100" s="2"/>
      <c r="L100" s="2"/>
      <c r="M100" s="2"/>
      <c r="N100" s="22"/>
      <c r="P100" s="491" t="s">
        <v>55</v>
      </c>
      <c r="Q100" s="284" t="s">
        <v>87</v>
      </c>
      <c r="R100" s="4"/>
      <c r="S100" s="4"/>
      <c r="T100" s="113"/>
    </row>
    <row r="101" spans="1:25" s="29" customFormat="1" ht="21" hidden="1" customHeight="1">
      <c r="A101" s="19"/>
      <c r="B101" s="137"/>
      <c r="C101" s="504"/>
      <c r="E101" s="646" t="s">
        <v>3</v>
      </c>
      <c r="F101" s="647"/>
      <c r="G101" s="2441"/>
      <c r="H101" s="2442"/>
      <c r="I101" s="990"/>
      <c r="J101" s="990"/>
      <c r="K101" s="990"/>
      <c r="L101" s="990"/>
      <c r="M101" s="991"/>
      <c r="N101" s="22"/>
      <c r="P101" s="511"/>
      <c r="Q101" s="284"/>
      <c r="R101" s="4"/>
      <c r="S101" s="4"/>
      <c r="T101" s="113"/>
      <c r="U101" s="511"/>
      <c r="V101" s="113"/>
      <c r="W101" s="113"/>
      <c r="X101" s="113"/>
      <c r="Y101" s="113"/>
    </row>
    <row r="102" spans="1:25">
      <c r="A102" s="2"/>
      <c r="B102" s="137"/>
      <c r="C102" s="19"/>
      <c r="D102" s="266"/>
      <c r="E102" s="507"/>
      <c r="H102" s="19"/>
      <c r="I102" s="23"/>
      <c r="J102" s="23"/>
      <c r="K102" s="23"/>
      <c r="L102" s="23"/>
      <c r="M102" s="23"/>
      <c r="N102" s="2"/>
      <c r="O102" s="121"/>
      <c r="P102" s="511"/>
      <c r="Q102" s="121"/>
      <c r="R102" s="29"/>
      <c r="S102" s="29"/>
      <c r="T102" s="29"/>
      <c r="U102" s="511"/>
      <c r="V102" s="29"/>
      <c r="W102" s="29"/>
      <c r="X102" s="29"/>
      <c r="Y102" s="29"/>
    </row>
    <row r="103" spans="1:25" ht="16.5" customHeight="1" thickBot="1">
      <c r="A103" s="2"/>
      <c r="B103" s="137"/>
      <c r="C103" s="19"/>
      <c r="D103" s="513" t="str">
        <f>重み!B44</f>
        <v>1.5.2</v>
      </c>
      <c r="E103" s="513" t="str">
        <f>重み!C44</f>
        <v>火災の早期感知</v>
      </c>
      <c r="F103" s="125"/>
      <c r="I103" s="23"/>
      <c r="J103" s="23"/>
      <c r="K103" s="23"/>
      <c r="L103" s="148" t="s">
        <v>348</v>
      </c>
      <c r="M103" s="38">
        <f>重み!M44</f>
        <v>0.35</v>
      </c>
      <c r="N103" s="2"/>
      <c r="O103" s="121"/>
      <c r="P103" s="29" t="str">
        <f>D103</f>
        <v>1.5.2</v>
      </c>
      <c r="Q103" s="29" t="str">
        <f>E103</f>
        <v>火災の早期感知</v>
      </c>
      <c r="R103" s="29">
        <f>F103</f>
        <v>0</v>
      </c>
      <c r="S103" s="29" t="str">
        <f>L103</f>
        <v>重み係数(既定）＝</v>
      </c>
      <c r="T103" s="29">
        <f>M103</f>
        <v>0.35</v>
      </c>
      <c r="U103" s="511"/>
      <c r="V103" s="29"/>
      <c r="W103" s="29"/>
      <c r="X103" s="29"/>
      <c r="Y103" s="29"/>
    </row>
    <row r="104" spans="1:25" ht="16.5" customHeight="1" thickBot="1">
      <c r="A104" s="2"/>
      <c r="B104" s="137"/>
      <c r="C104" s="19"/>
      <c r="D104" s="865">
        <v>3</v>
      </c>
      <c r="E104" s="2934" t="s">
        <v>415</v>
      </c>
      <c r="F104" s="2935"/>
      <c r="G104" s="2935"/>
      <c r="H104" s="2935"/>
      <c r="I104" s="2935"/>
      <c r="J104" s="2935"/>
      <c r="K104" s="2935"/>
      <c r="L104" s="2935"/>
      <c r="M104" s="2936"/>
      <c r="N104" s="2"/>
      <c r="O104" s="121"/>
      <c r="P104" s="29"/>
      <c r="Q104" s="29"/>
      <c r="R104" s="29"/>
      <c r="S104" s="29"/>
      <c r="T104" s="29"/>
      <c r="U104" s="511"/>
      <c r="V104" s="29"/>
      <c r="W104" s="29"/>
      <c r="X104" s="29"/>
      <c r="Y104" s="29"/>
    </row>
    <row r="105" spans="1:25" ht="16.5" customHeight="1">
      <c r="A105" s="2"/>
      <c r="B105" s="137"/>
      <c r="C105" s="19"/>
      <c r="D105" s="25" t="str">
        <f>IF(D104=$Q$14,$R$9,IF(ROUNDDOWN(D104,0)=$Q$9,$S$9,$R$9))</f>
        <v>　レベル　1</v>
      </c>
      <c r="E105" s="522" t="s">
        <v>409</v>
      </c>
      <c r="F105" s="638"/>
      <c r="G105" s="638"/>
      <c r="H105" s="638"/>
      <c r="I105" s="638"/>
      <c r="J105" s="638"/>
      <c r="K105" s="638"/>
      <c r="L105" s="638"/>
      <c r="M105" s="639"/>
      <c r="N105" s="2"/>
      <c r="O105" s="121"/>
      <c r="P105" s="491" t="s">
        <v>842</v>
      </c>
      <c r="Q105" s="29"/>
      <c r="R105" s="29"/>
      <c r="S105" s="29"/>
      <c r="T105" s="29"/>
      <c r="U105" s="511"/>
      <c r="V105" s="29"/>
      <c r="W105" s="29"/>
      <c r="X105" s="29"/>
      <c r="Y105" s="29"/>
    </row>
    <row r="106" spans="1:25" ht="16.5" customHeight="1">
      <c r="A106" s="2"/>
      <c r="B106" s="137"/>
      <c r="C106" s="19"/>
      <c r="D106" s="28" t="str">
        <f>IF(D104=$Q$14,$R$10,IF(ROUNDDOWN(D104,0)=$Q$10,$S$10,$R$10))</f>
        <v>　レベル　2</v>
      </c>
      <c r="E106" s="146" t="s">
        <v>409</v>
      </c>
      <c r="F106" s="2626"/>
      <c r="G106" s="2626"/>
      <c r="H106" s="2626"/>
      <c r="I106" s="2626"/>
      <c r="J106" s="2626"/>
      <c r="K106" s="2626"/>
      <c r="L106" s="2626"/>
      <c r="M106" s="2627"/>
      <c r="N106" s="2"/>
      <c r="O106" s="121"/>
      <c r="P106" s="491" t="s">
        <v>843</v>
      </c>
      <c r="Q106" s="29"/>
      <c r="R106" s="29"/>
      <c r="S106" s="29"/>
      <c r="T106" s="29"/>
      <c r="U106" s="511"/>
      <c r="V106" s="29"/>
      <c r="W106" s="29"/>
      <c r="X106" s="29"/>
      <c r="Y106" s="29"/>
    </row>
    <row r="107" spans="1:25" ht="16.5" customHeight="1">
      <c r="A107" s="2"/>
      <c r="B107" s="137"/>
      <c r="C107" s="19"/>
      <c r="D107" s="28" t="str">
        <f>IF(D104=$Q$14,$R$11,IF(ROUNDDOWN(D104,0)=$Q$11,$S$11,$R$11))</f>
        <v>■レベル　3</v>
      </c>
      <c r="E107" s="146" t="s">
        <v>863</v>
      </c>
      <c r="F107" s="2626"/>
      <c r="G107" s="2626"/>
      <c r="H107" s="2626"/>
      <c r="I107" s="2626"/>
      <c r="J107" s="2626"/>
      <c r="K107" s="2626"/>
      <c r="L107" s="2626"/>
      <c r="M107" s="2627"/>
      <c r="N107" s="2"/>
      <c r="O107" s="121"/>
      <c r="P107" s="491">
        <f>$Q$11</f>
        <v>3</v>
      </c>
      <c r="Q107" s="29"/>
      <c r="R107" s="29"/>
      <c r="S107" s="29"/>
      <c r="T107" s="29"/>
      <c r="U107" s="511"/>
      <c r="V107" s="29"/>
      <c r="W107" s="29"/>
      <c r="X107" s="29"/>
      <c r="Y107" s="29"/>
    </row>
    <row r="108" spans="1:25" ht="16.5" customHeight="1">
      <c r="A108" s="2"/>
      <c r="B108" s="137"/>
      <c r="C108" s="19"/>
      <c r="D108" s="28" t="str">
        <f>IF(D104=$Q$14,$R$12,IF(ROUNDDOWN(D104,0)=$Q$12,$S$12,$R$12))</f>
        <v>　レベル　4</v>
      </c>
      <c r="E108" s="146" t="s">
        <v>864</v>
      </c>
      <c r="F108" s="2626"/>
      <c r="G108" s="2626"/>
      <c r="H108" s="2626"/>
      <c r="I108" s="2626"/>
      <c r="J108" s="2626"/>
      <c r="K108" s="2626"/>
      <c r="L108" s="2626"/>
      <c r="M108" s="2627"/>
      <c r="N108" s="2"/>
      <c r="O108" s="121"/>
      <c r="P108" s="491">
        <f>$Q$12</f>
        <v>4</v>
      </c>
      <c r="Q108" s="29"/>
      <c r="R108" s="29"/>
      <c r="S108" s="29"/>
      <c r="T108" s="29"/>
      <c r="U108" s="511"/>
      <c r="V108" s="29"/>
      <c r="W108" s="29"/>
      <c r="X108" s="29"/>
      <c r="Y108" s="29"/>
    </row>
    <row r="109" spans="1:25" ht="16.5" customHeight="1">
      <c r="A109" s="2"/>
      <c r="B109" s="137"/>
      <c r="C109" s="19"/>
      <c r="D109" s="26" t="str">
        <f>IF(D104=$Q$14,$R$13,IF(ROUNDDOWN(D104,0)=$Q$13,$S$13,$R$13))</f>
        <v>　レベル　5</v>
      </c>
      <c r="E109" s="645" t="s">
        <v>865</v>
      </c>
      <c r="F109" s="2628"/>
      <c r="G109" s="2628"/>
      <c r="H109" s="2628"/>
      <c r="I109" s="2628"/>
      <c r="J109" s="2628"/>
      <c r="K109" s="2628"/>
      <c r="L109" s="2628"/>
      <c r="M109" s="2629"/>
      <c r="N109" s="2"/>
      <c r="O109" s="121"/>
      <c r="P109" s="491">
        <f>$Q$13</f>
        <v>5</v>
      </c>
      <c r="Q109" s="29"/>
      <c r="R109" s="29"/>
      <c r="S109" s="29"/>
      <c r="T109" s="29"/>
      <c r="U109" s="511"/>
      <c r="V109" s="29"/>
      <c r="W109" s="29"/>
      <c r="X109" s="29"/>
      <c r="Y109" s="29"/>
    </row>
    <row r="110" spans="1:25" s="29" customFormat="1" ht="8.25" customHeight="1">
      <c r="A110" s="19"/>
      <c r="B110" s="137"/>
      <c r="C110" s="504"/>
      <c r="D110" s="270"/>
      <c r="E110" s="270"/>
      <c r="F110" s="2"/>
      <c r="G110" s="2"/>
      <c r="H110" s="2"/>
      <c r="I110" s="2"/>
      <c r="J110" s="2"/>
      <c r="K110" s="2"/>
      <c r="L110" s="2"/>
      <c r="M110" s="2"/>
      <c r="N110" s="22"/>
      <c r="P110" s="491" t="s">
        <v>68</v>
      </c>
      <c r="Q110" s="284" t="s">
        <v>87</v>
      </c>
      <c r="R110" s="4"/>
      <c r="S110" s="4"/>
      <c r="T110" s="113"/>
    </row>
    <row r="111" spans="1:25" s="29" customFormat="1" ht="21" customHeight="1">
      <c r="A111" s="19"/>
      <c r="B111" s="137"/>
      <c r="C111" s="504"/>
      <c r="E111" s="646" t="s">
        <v>3</v>
      </c>
      <c r="F111" s="647"/>
      <c r="G111" s="2441"/>
      <c r="H111" s="2442"/>
      <c r="I111" s="990"/>
      <c r="J111" s="990"/>
      <c r="K111" s="990"/>
      <c r="L111" s="990"/>
      <c r="M111" s="991"/>
      <c r="N111" s="22"/>
      <c r="P111" s="511"/>
      <c r="Q111" s="284"/>
      <c r="R111" s="4"/>
      <c r="S111" s="4"/>
      <c r="T111" s="113"/>
      <c r="U111" s="511"/>
      <c r="V111" s="113"/>
      <c r="W111" s="113"/>
      <c r="X111" s="113"/>
      <c r="Y111" s="113"/>
    </row>
    <row r="112" spans="1:25" ht="20.25" hidden="1" customHeight="1">
      <c r="A112" s="2"/>
      <c r="B112" s="137"/>
      <c r="C112" s="19"/>
      <c r="D112" s="19"/>
      <c r="E112" s="19"/>
      <c r="F112" s="19"/>
      <c r="G112" s="19"/>
      <c r="H112" s="19"/>
      <c r="I112" s="24"/>
      <c r="J112" s="24"/>
      <c r="K112" s="2"/>
      <c r="L112" s="2"/>
      <c r="M112" s="2"/>
      <c r="N112" s="2"/>
      <c r="O112" s="121"/>
      <c r="P112" s="335"/>
      <c r="Q112" s="121"/>
      <c r="R112" s="29"/>
      <c r="S112" s="29"/>
      <c r="T112" s="29"/>
      <c r="U112" s="335"/>
      <c r="V112" s="29"/>
      <c r="W112" s="29"/>
      <c r="X112" s="29"/>
      <c r="Y112" s="29"/>
    </row>
    <row r="113" spans="1:25" ht="16.5" hidden="1" customHeight="1" thickBot="1">
      <c r="A113" s="2"/>
      <c r="B113" s="137"/>
      <c r="C113" s="19"/>
      <c r="D113" s="513">
        <f>重み!B45</f>
        <v>0</v>
      </c>
      <c r="E113" s="513">
        <f>重み!C45</f>
        <v>0</v>
      </c>
      <c r="F113" s="125"/>
      <c r="I113" s="23"/>
      <c r="J113" s="23"/>
      <c r="K113" s="23"/>
      <c r="L113" s="148" t="s">
        <v>348</v>
      </c>
      <c r="M113" s="38">
        <f>重み!M45</f>
        <v>0</v>
      </c>
      <c r="N113" s="2"/>
      <c r="O113" s="121"/>
      <c r="P113" s="29">
        <f>D113</f>
        <v>0</v>
      </c>
      <c r="Q113" s="29">
        <f>E113</f>
        <v>0</v>
      </c>
      <c r="R113" s="29">
        <f>F113</f>
        <v>0</v>
      </c>
      <c r="S113" s="29" t="str">
        <f>L113</f>
        <v>重み係数(既定）＝</v>
      </c>
      <c r="T113" s="29">
        <f>M113</f>
        <v>0</v>
      </c>
      <c r="U113" s="511"/>
      <c r="V113" s="29"/>
      <c r="W113" s="29"/>
      <c r="X113" s="29"/>
      <c r="Y113" s="29"/>
    </row>
    <row r="114" spans="1:25" ht="16.5" hidden="1" customHeight="1" thickBot="1">
      <c r="A114" s="2"/>
      <c r="B114" s="137"/>
      <c r="C114" s="19"/>
      <c r="D114" s="865">
        <v>3</v>
      </c>
      <c r="E114" s="2934" t="s">
        <v>415</v>
      </c>
      <c r="F114" s="2935"/>
      <c r="G114" s="2935"/>
      <c r="H114" s="2935"/>
      <c r="I114" s="2935"/>
      <c r="J114" s="2935"/>
      <c r="K114" s="2935"/>
      <c r="L114" s="2935"/>
      <c r="M114" s="2936"/>
      <c r="N114" s="2"/>
      <c r="O114" s="121"/>
      <c r="P114" s="29"/>
      <c r="Q114" s="29"/>
      <c r="R114" s="29"/>
      <c r="S114" s="29"/>
      <c r="T114" s="29"/>
      <c r="U114" s="511"/>
      <c r="V114" s="29"/>
      <c r="W114" s="29"/>
      <c r="X114" s="29"/>
      <c r="Y114" s="29"/>
    </row>
    <row r="115" spans="1:25" ht="16.5" hidden="1" customHeight="1">
      <c r="A115" s="2"/>
      <c r="B115" s="137"/>
      <c r="C115" s="19"/>
      <c r="D115" s="25" t="str">
        <f>IF(D114=$Q$14,$R$9,IF(ROUNDDOWN(D114,0)=$Q$9,$S$9,$R$9))</f>
        <v>　レベル　1</v>
      </c>
      <c r="E115" s="522" t="s">
        <v>1973</v>
      </c>
      <c r="F115" s="638"/>
      <c r="G115" s="638"/>
      <c r="H115" s="638"/>
      <c r="I115" s="638"/>
      <c r="J115" s="638"/>
      <c r="K115" s="638"/>
      <c r="L115" s="638"/>
      <c r="M115" s="639"/>
      <c r="N115" s="2"/>
      <c r="O115" s="121"/>
      <c r="P115" s="491">
        <v>1</v>
      </c>
      <c r="Q115" s="29"/>
      <c r="R115" s="29"/>
      <c r="S115" s="29"/>
      <c r="T115" s="29"/>
      <c r="U115" s="511"/>
      <c r="V115" s="29"/>
      <c r="W115" s="29"/>
      <c r="X115" s="29"/>
      <c r="Y115" s="29"/>
    </row>
    <row r="116" spans="1:25" ht="16.5" hidden="1" customHeight="1">
      <c r="A116" s="2"/>
      <c r="B116" s="137"/>
      <c r="C116" s="19"/>
      <c r="D116" s="28" t="str">
        <f>IF(D114=$Q$14,$R$10,IF(ROUNDDOWN(D114,0)=$Q$10,$S$10,$R$10))</f>
        <v>　レベル　2</v>
      </c>
      <c r="E116" s="146" t="s">
        <v>1974</v>
      </c>
      <c r="F116" s="2626"/>
      <c r="G116" s="2626"/>
      <c r="H116" s="2626"/>
      <c r="I116" s="2626"/>
      <c r="J116" s="2626"/>
      <c r="K116" s="2626"/>
      <c r="L116" s="2626"/>
      <c r="M116" s="2627"/>
      <c r="N116" s="2"/>
      <c r="O116" s="121"/>
      <c r="P116" s="491" t="s">
        <v>55</v>
      </c>
      <c r="Q116" s="29"/>
      <c r="R116" s="29"/>
      <c r="S116" s="29"/>
      <c r="T116" s="29"/>
      <c r="U116" s="511"/>
      <c r="V116" s="29"/>
      <c r="W116" s="29"/>
      <c r="X116" s="29"/>
      <c r="Y116" s="29"/>
    </row>
    <row r="117" spans="1:25" ht="16.5" hidden="1" customHeight="1">
      <c r="A117" s="2"/>
      <c r="B117" s="137"/>
      <c r="C117" s="19"/>
      <c r="D117" s="28" t="str">
        <f>IF(D114=$Q$14,$R$11,IF(ROUNDDOWN(D114,0)=$Q$11,$S$11,$R$11))</f>
        <v>■レベル　3</v>
      </c>
      <c r="E117" s="146" t="s">
        <v>1975</v>
      </c>
      <c r="F117" s="2626"/>
      <c r="G117" s="2626"/>
      <c r="H117" s="2626"/>
      <c r="I117" s="2626"/>
      <c r="J117" s="2626"/>
      <c r="K117" s="2626"/>
      <c r="L117" s="2626"/>
      <c r="M117" s="2627"/>
      <c r="N117" s="2"/>
      <c r="O117" s="121"/>
      <c r="P117" s="491">
        <f>$Q$11</f>
        <v>3</v>
      </c>
      <c r="Q117" s="29"/>
      <c r="R117" s="29"/>
      <c r="S117" s="29"/>
      <c r="T117" s="29"/>
      <c r="U117" s="511"/>
      <c r="V117" s="29"/>
      <c r="W117" s="29"/>
      <c r="X117" s="29"/>
      <c r="Y117" s="29"/>
    </row>
    <row r="118" spans="1:25" ht="16.5" hidden="1" customHeight="1">
      <c r="A118" s="2"/>
      <c r="B118" s="137"/>
      <c r="C118" s="19"/>
      <c r="D118" s="28" t="str">
        <f>IF(D114=$Q$14,$R$12,IF(ROUNDDOWN(D114,0)=$Q$12,$S$12,$R$12))</f>
        <v>　レベル　4</v>
      </c>
      <c r="E118" s="146" t="s">
        <v>1976</v>
      </c>
      <c r="F118" s="2626"/>
      <c r="G118" s="2626"/>
      <c r="H118" s="2626"/>
      <c r="I118" s="2626"/>
      <c r="J118" s="2626"/>
      <c r="K118" s="2626"/>
      <c r="L118" s="2626"/>
      <c r="M118" s="2627"/>
      <c r="N118" s="2"/>
      <c r="O118" s="121"/>
      <c r="P118" s="491">
        <f>$Q$12</f>
        <v>4</v>
      </c>
      <c r="Q118" s="29"/>
      <c r="R118" s="29"/>
      <c r="S118" s="29"/>
      <c r="T118" s="29"/>
      <c r="U118" s="511"/>
      <c r="V118" s="29"/>
      <c r="W118" s="29"/>
      <c r="X118" s="29"/>
      <c r="Y118" s="29"/>
    </row>
    <row r="119" spans="1:25" ht="16.5" hidden="1" customHeight="1">
      <c r="A119" s="2"/>
      <c r="B119" s="137"/>
      <c r="C119" s="19"/>
      <c r="D119" s="26" t="str">
        <f>IF(D114=$Q$14,$R$13,IF(ROUNDDOWN(D114,0)=$Q$13,$S$13,$R$13))</f>
        <v>　レベル　5</v>
      </c>
      <c r="E119" s="645" t="s">
        <v>1977</v>
      </c>
      <c r="F119" s="2628"/>
      <c r="G119" s="2628"/>
      <c r="H119" s="2628"/>
      <c r="I119" s="2628"/>
      <c r="J119" s="2628"/>
      <c r="K119" s="2628"/>
      <c r="L119" s="2628"/>
      <c r="M119" s="2629"/>
      <c r="N119" s="2"/>
      <c r="O119" s="121"/>
      <c r="P119" s="491">
        <f>$Q$13</f>
        <v>5</v>
      </c>
      <c r="Q119" s="29"/>
      <c r="R119" s="29"/>
      <c r="S119" s="29"/>
      <c r="T119" s="29"/>
      <c r="U119" s="511"/>
      <c r="V119" s="29"/>
      <c r="W119" s="29"/>
      <c r="X119" s="29"/>
      <c r="Y119" s="29"/>
    </row>
    <row r="120" spans="1:25" s="29" customFormat="1" ht="8.25" hidden="1" customHeight="1">
      <c r="A120" s="19"/>
      <c r="B120" s="137"/>
      <c r="C120" s="504"/>
      <c r="D120" s="270"/>
      <c r="E120" s="270"/>
      <c r="F120" s="2"/>
      <c r="G120" s="2"/>
      <c r="H120" s="2"/>
      <c r="I120" s="2"/>
      <c r="J120" s="2"/>
      <c r="K120" s="2"/>
      <c r="L120" s="2"/>
      <c r="M120" s="2"/>
      <c r="N120" s="22"/>
      <c r="P120" s="491" t="s">
        <v>55</v>
      </c>
      <c r="Q120" s="284" t="s">
        <v>87</v>
      </c>
      <c r="R120" s="4"/>
      <c r="S120" s="4"/>
      <c r="T120" s="113"/>
    </row>
    <row r="121" spans="1:25" s="29" customFormat="1" ht="21" hidden="1" customHeight="1">
      <c r="A121" s="19"/>
      <c r="B121" s="137"/>
      <c r="C121" s="504"/>
      <c r="E121" s="646" t="s">
        <v>3</v>
      </c>
      <c r="F121" s="647"/>
      <c r="G121" s="2441"/>
      <c r="H121" s="2442"/>
      <c r="I121" s="990"/>
      <c r="J121" s="990"/>
      <c r="K121" s="990"/>
      <c r="L121" s="990"/>
      <c r="M121" s="991"/>
      <c r="N121" s="22"/>
      <c r="P121" s="511"/>
      <c r="Q121" s="284"/>
      <c r="R121" s="4"/>
      <c r="S121" s="4"/>
      <c r="T121" s="113"/>
      <c r="U121" s="511"/>
      <c r="V121" s="113"/>
      <c r="W121" s="113"/>
      <c r="X121" s="113"/>
      <c r="Y121" s="113"/>
    </row>
    <row r="122" spans="1:25" ht="16.2" customHeight="1">
      <c r="A122" s="2"/>
      <c r="B122" s="137"/>
      <c r="C122" s="19"/>
      <c r="D122" s="19"/>
      <c r="E122" s="19"/>
      <c r="F122" s="19"/>
      <c r="G122" s="19"/>
      <c r="H122" s="19"/>
      <c r="I122" s="24"/>
      <c r="J122" s="24"/>
      <c r="K122" s="2"/>
      <c r="L122" s="2"/>
      <c r="M122" s="2"/>
      <c r="N122" s="2"/>
      <c r="O122" s="121"/>
      <c r="P122" s="335"/>
      <c r="Q122" s="121"/>
      <c r="R122" s="29"/>
      <c r="S122" s="29"/>
      <c r="T122" s="29"/>
      <c r="U122" s="335"/>
      <c r="V122" s="29"/>
      <c r="W122" s="29"/>
      <c r="X122" s="29"/>
      <c r="Y122" s="29"/>
    </row>
    <row r="123" spans="1:25" s="285" customFormat="1" ht="14.25" customHeight="1">
      <c r="A123" s="14"/>
      <c r="B123" s="137">
        <v>2</v>
      </c>
      <c r="C123" s="23" t="s">
        <v>520</v>
      </c>
      <c r="D123" s="23"/>
      <c r="E123" s="23"/>
      <c r="F123" s="23"/>
      <c r="G123" s="23"/>
      <c r="H123" s="23"/>
      <c r="I123" s="23"/>
      <c r="J123" s="23"/>
      <c r="K123" s="23"/>
      <c r="L123" s="23"/>
      <c r="M123" s="23"/>
      <c r="N123" s="14"/>
    </row>
    <row r="124" spans="1:25" s="285" customFormat="1" ht="16.2" thickBot="1">
      <c r="A124" s="14"/>
      <c r="B124" s="137">
        <v>2.1</v>
      </c>
      <c r="C124" s="23" t="s">
        <v>522</v>
      </c>
      <c r="D124" s="23"/>
      <c r="E124" s="23"/>
      <c r="F124" s="23"/>
      <c r="G124" s="23"/>
      <c r="H124" s="23"/>
      <c r="I124" s="23"/>
      <c r="J124" s="23"/>
      <c r="K124" s="23"/>
      <c r="N124" s="14"/>
    </row>
    <row r="125" spans="1:25" s="285" customFormat="1" ht="16.2" hidden="1" thickBot="1">
      <c r="A125" s="14"/>
      <c r="B125" s="137"/>
      <c r="C125" s="23"/>
      <c r="D125" s="2557">
        <f>IF(メイン!C11=メイン!I10,採点Q2!D126,採点Q2!D143)</f>
        <v>3</v>
      </c>
      <c r="E125"/>
      <c r="F125"/>
      <c r="G125"/>
      <c r="H125"/>
      <c r="I125"/>
      <c r="J125"/>
      <c r="K125"/>
      <c r="L125"/>
      <c r="M125"/>
      <c r="N125"/>
    </row>
    <row r="126" spans="1:25" s="285" customFormat="1" ht="15" thickBot="1">
      <c r="A126" s="14"/>
      <c r="D126" s="866">
        <f>IF(D127+L138&lt;=5,D127+L138,5)</f>
        <v>3</v>
      </c>
      <c r="E126" s="271"/>
      <c r="F126" s="23"/>
      <c r="G126" s="125"/>
      <c r="H126" s="23"/>
      <c r="I126" s="23"/>
      <c r="J126" s="23"/>
      <c r="K126" s="23"/>
      <c r="L126" s="148" t="s">
        <v>2</v>
      </c>
      <c r="M126" s="38">
        <f>重み!M47</f>
        <v>0.65</v>
      </c>
      <c r="N126" s="14"/>
      <c r="O126" s="29" t="str">
        <f>C124</f>
        <v>維持管理のしやすさ</v>
      </c>
      <c r="P126" s="29">
        <f>D124</f>
        <v>0</v>
      </c>
      <c r="Q126" s="29">
        <f t="shared" ref="Q126:W126" si="2">E126</f>
        <v>0</v>
      </c>
      <c r="R126" s="29">
        <f t="shared" si="2"/>
        <v>0</v>
      </c>
      <c r="S126" s="29">
        <f t="shared" si="2"/>
        <v>0</v>
      </c>
      <c r="T126" s="29">
        <f t="shared" si="2"/>
        <v>0</v>
      </c>
      <c r="U126" s="29">
        <f t="shared" si="2"/>
        <v>0</v>
      </c>
      <c r="V126" s="29">
        <f t="shared" si="2"/>
        <v>0</v>
      </c>
      <c r="W126" s="29">
        <f t="shared" si="2"/>
        <v>0</v>
      </c>
      <c r="X126" s="29" t="str">
        <f>L126</f>
        <v>重み係数＝</v>
      </c>
      <c r="Y126" s="29">
        <f>M126</f>
        <v>0.65</v>
      </c>
    </row>
    <row r="127" spans="1:25" ht="16.2" thickBot="1">
      <c r="A127" s="2"/>
      <c r="B127" s="137"/>
      <c r="C127" s="21"/>
      <c r="D127" s="864">
        <v>3</v>
      </c>
      <c r="E127" s="2934" t="s">
        <v>415</v>
      </c>
      <c r="F127" s="2935"/>
      <c r="G127" s="2935"/>
      <c r="H127" s="2935"/>
      <c r="I127" s="2935"/>
      <c r="J127" s="2935"/>
      <c r="K127" s="2935"/>
      <c r="L127" s="2935"/>
      <c r="M127" s="2936"/>
      <c r="N127" s="2"/>
      <c r="O127" s="121"/>
      <c r="P127" s="29"/>
      <c r="Q127" s="121"/>
      <c r="R127" s="29"/>
      <c r="S127" s="29"/>
      <c r="T127" s="29"/>
      <c r="U127" s="29"/>
      <c r="V127" s="29"/>
      <c r="W127" s="29"/>
      <c r="X127" s="29"/>
      <c r="Y127" s="29"/>
    </row>
    <row r="128" spans="1:25">
      <c r="A128" s="2"/>
      <c r="B128" s="137"/>
      <c r="C128" s="21"/>
      <c r="D128" s="25" t="str">
        <f>IF(D127=$Q$14,$R$9,IF(ROUNDDOWN(D127,0)=$Q$9,$S$9,$R$9))</f>
        <v>　レベル　1</v>
      </c>
      <c r="E128" s="457" t="s">
        <v>653</v>
      </c>
      <c r="F128" s="2624"/>
      <c r="G128" s="2624"/>
      <c r="H128" s="2624"/>
      <c r="I128" s="2624"/>
      <c r="J128" s="2624"/>
      <c r="K128" s="2624"/>
      <c r="L128" s="2624"/>
      <c r="M128" s="2625"/>
      <c r="N128" s="2"/>
      <c r="O128" s="2493" t="s">
        <v>1926</v>
      </c>
      <c r="P128" s="491">
        <f>$Q$9</f>
        <v>1</v>
      </c>
      <c r="Q128" s="121"/>
      <c r="R128" s="29"/>
      <c r="S128" s="29"/>
      <c r="T128" s="29"/>
      <c r="U128" s="491">
        <f>$Q$9</f>
        <v>1</v>
      </c>
      <c r="V128" s="29"/>
      <c r="W128" s="29"/>
      <c r="X128" s="29"/>
      <c r="Y128" s="29"/>
    </row>
    <row r="129" spans="1:26">
      <c r="A129" s="2"/>
      <c r="B129" s="137"/>
      <c r="C129" s="21"/>
      <c r="D129" s="28" t="str">
        <f>IF(D127=$Q$14,$R$10,IF(ROUNDDOWN(D127,0)=$Q$10,$S$10,$R$10))</f>
        <v>　レベル　2</v>
      </c>
      <c r="E129" s="451" t="s">
        <v>657</v>
      </c>
      <c r="F129" s="450"/>
      <c r="G129" s="450"/>
      <c r="H129" s="450"/>
      <c r="I129" s="450"/>
      <c r="J129" s="450"/>
      <c r="K129" s="450"/>
      <c r="L129" s="450"/>
      <c r="M129" s="454"/>
      <c r="N129" s="2"/>
      <c r="O129" s="121"/>
      <c r="P129" s="491" t="s">
        <v>844</v>
      </c>
      <c r="Q129" s="121"/>
      <c r="R129" s="29"/>
      <c r="S129" s="29"/>
      <c r="T129" s="29"/>
      <c r="U129" s="491">
        <f>$Q$10</f>
        <v>2</v>
      </c>
      <c r="V129" s="29"/>
      <c r="W129" s="29"/>
      <c r="X129" s="29"/>
      <c r="Y129" s="29"/>
    </row>
    <row r="130" spans="1:26">
      <c r="A130" s="2"/>
      <c r="B130" s="137"/>
      <c r="C130" s="21"/>
      <c r="D130" s="28" t="str">
        <f>IF(D127=$Q$14,$R$11,IF(ROUNDDOWN(D127,0)=$Q$11,$S$11,$R$11))</f>
        <v>■レベル　3</v>
      </c>
      <c r="E130" s="451" t="s">
        <v>654</v>
      </c>
      <c r="F130" s="2630"/>
      <c r="G130" s="2630"/>
      <c r="H130" s="2630"/>
      <c r="I130" s="2630"/>
      <c r="J130" s="2630"/>
      <c r="K130" s="2630"/>
      <c r="L130" s="2630"/>
      <c r="M130" s="2631"/>
      <c r="N130" s="2"/>
      <c r="O130" s="121"/>
      <c r="P130" s="491">
        <f>$Q$11</f>
        <v>3</v>
      </c>
      <c r="Q130" s="121"/>
      <c r="R130" s="29"/>
      <c r="S130" s="29"/>
      <c r="T130" s="29"/>
      <c r="U130" s="491">
        <f>$Q$11</f>
        <v>3</v>
      </c>
      <c r="V130" s="29"/>
      <c r="W130" s="29"/>
      <c r="X130" s="29"/>
      <c r="Y130" s="29"/>
    </row>
    <row r="131" spans="1:26">
      <c r="A131" s="2"/>
      <c r="B131" s="137"/>
      <c r="C131" s="21"/>
      <c r="D131" s="28" t="str">
        <f>IF(D127=$Q$14,$R$12,IF(ROUNDDOWN(D127,0)=$Q$12,$S$12,$R$12))</f>
        <v>　レベル　4</v>
      </c>
      <c r="E131" s="451" t="s">
        <v>655</v>
      </c>
      <c r="F131" s="2630"/>
      <c r="G131" s="2630"/>
      <c r="H131" s="2630"/>
      <c r="I131" s="2630"/>
      <c r="J131" s="2630"/>
      <c r="K131" s="2630"/>
      <c r="L131" s="2630"/>
      <c r="M131" s="2631"/>
      <c r="N131" s="2"/>
      <c r="O131" s="121"/>
      <c r="P131" s="491">
        <f>$Q$12</f>
        <v>4</v>
      </c>
      <c r="Q131" s="121"/>
      <c r="R131" s="29"/>
      <c r="S131" s="29"/>
      <c r="T131" s="29"/>
      <c r="U131" s="491">
        <f>$Q$12</f>
        <v>4</v>
      </c>
      <c r="V131" s="29"/>
      <c r="W131" s="29"/>
      <c r="X131" s="29"/>
      <c r="Y131" s="29"/>
    </row>
    <row r="132" spans="1:26">
      <c r="A132" s="2"/>
      <c r="B132" s="137"/>
      <c r="C132" s="21"/>
      <c r="D132" s="26" t="str">
        <f>IF(D127=$Q$14,$R$13,IF(ROUNDDOWN(D127,0)=$Q$13,$S$13,$R$13))</f>
        <v>　レベル　5</v>
      </c>
      <c r="E132" s="473" t="s">
        <v>656</v>
      </c>
      <c r="F132" s="2632"/>
      <c r="G132" s="2632"/>
      <c r="H132" s="2632"/>
      <c r="I132" s="2632"/>
      <c r="J132" s="2632"/>
      <c r="K132" s="2632"/>
      <c r="L132" s="2632"/>
      <c r="M132" s="2633"/>
      <c r="N132" s="2"/>
      <c r="O132" s="121"/>
      <c r="P132" s="491" t="s">
        <v>402</v>
      </c>
      <c r="Q132" s="121"/>
      <c r="R132" s="29"/>
      <c r="S132" s="29"/>
      <c r="T132" s="29"/>
      <c r="U132" s="491">
        <f>$Q$13</f>
        <v>5</v>
      </c>
      <c r="V132" s="29"/>
      <c r="W132" s="29"/>
      <c r="X132" s="29"/>
      <c r="Y132" s="29"/>
    </row>
    <row r="133" spans="1:26" ht="16.2" thickBot="1">
      <c r="A133" s="2"/>
      <c r="B133" s="137"/>
      <c r="C133" s="19"/>
      <c r="D133" s="19"/>
      <c r="E133" s="874" t="s">
        <v>376</v>
      </c>
      <c r="F133" s="2"/>
      <c r="G133" s="2"/>
      <c r="H133" s="2"/>
      <c r="I133" s="2"/>
      <c r="J133" s="2"/>
      <c r="K133" s="2"/>
      <c r="L133" s="2"/>
      <c r="M133" s="2"/>
      <c r="N133" s="2"/>
      <c r="O133" s="121"/>
      <c r="P133" s="491" t="s">
        <v>68</v>
      </c>
      <c r="Q133" s="284" t="s">
        <v>87</v>
      </c>
      <c r="R133" s="29"/>
      <c r="S133" s="29"/>
      <c r="T133" s="29"/>
      <c r="U133" s="491" t="str">
        <f>$Q$14</f>
        <v>対象外</v>
      </c>
      <c r="V133" s="29"/>
      <c r="W133" s="29"/>
      <c r="X133" s="29"/>
      <c r="Y133" s="29"/>
    </row>
    <row r="134" spans="1:26">
      <c r="A134" s="2"/>
      <c r="B134" s="137"/>
      <c r="C134" s="19"/>
      <c r="D134" s="19"/>
      <c r="E134" s="330"/>
      <c r="F134" s="2986" t="s">
        <v>9</v>
      </c>
      <c r="G134" s="482" t="s">
        <v>4</v>
      </c>
      <c r="H134" s="457" t="s">
        <v>403</v>
      </c>
      <c r="I134" s="481"/>
      <c r="J134" s="481"/>
      <c r="K134" s="481"/>
      <c r="L134" s="481"/>
      <c r="M134" s="445"/>
      <c r="N134" s="2"/>
      <c r="O134" s="121"/>
      <c r="Q134" s="121"/>
      <c r="R134" s="29"/>
      <c r="S134" s="29"/>
      <c r="T134" s="29"/>
      <c r="U134" s="511"/>
      <c r="V134" s="29"/>
      <c r="W134" s="29"/>
      <c r="X134" s="29"/>
      <c r="Y134" s="29"/>
    </row>
    <row r="135" spans="1:26" ht="30.6" customHeight="1">
      <c r="A135" s="2"/>
      <c r="B135" s="137"/>
      <c r="C135" s="19"/>
      <c r="D135" s="19"/>
      <c r="E135" s="660"/>
      <c r="F135" s="2942"/>
      <c r="G135" s="484" t="s">
        <v>8</v>
      </c>
      <c r="H135" s="473" t="s">
        <v>404</v>
      </c>
      <c r="I135" s="643"/>
      <c r="J135" s="643"/>
      <c r="K135" s="643"/>
      <c r="L135" s="643"/>
      <c r="M135" s="644"/>
      <c r="N135" s="2"/>
      <c r="O135" s="121"/>
      <c r="P135" s="4">
        <f>COUNTIF(E134:E135,U3)</f>
        <v>0</v>
      </c>
      <c r="Q135" s="121"/>
      <c r="R135" s="29"/>
      <c r="S135" s="29"/>
      <c r="T135" s="29"/>
      <c r="U135" s="511"/>
      <c r="V135" s="29"/>
      <c r="W135" s="29"/>
      <c r="X135" s="29"/>
      <c r="Y135" s="29"/>
    </row>
    <row r="136" spans="1:26" ht="45.6" customHeight="1">
      <c r="A136" s="2"/>
      <c r="B136" s="137"/>
      <c r="C136" s="19"/>
      <c r="D136" s="19"/>
      <c r="E136" s="663"/>
      <c r="F136" s="2986" t="s">
        <v>10</v>
      </c>
      <c r="G136" s="482" t="s">
        <v>4</v>
      </c>
      <c r="H136" s="2937" t="s">
        <v>2151</v>
      </c>
      <c r="I136" s="2938"/>
      <c r="J136" s="2938"/>
      <c r="K136" s="2938"/>
      <c r="L136" s="2938"/>
      <c r="M136" s="2939"/>
      <c r="N136" s="2"/>
      <c r="O136" s="121"/>
      <c r="P136" s="511"/>
      <c r="Q136" s="121"/>
      <c r="R136" s="29"/>
      <c r="S136" s="29"/>
      <c r="T136" s="29"/>
      <c r="U136" s="511"/>
      <c r="V136" s="29"/>
      <c r="W136" s="29"/>
      <c r="X136" s="29"/>
      <c r="Y136" s="29"/>
    </row>
    <row r="137" spans="1:26" ht="45.6" customHeight="1" thickBot="1">
      <c r="A137" s="2"/>
      <c r="B137" s="137"/>
      <c r="C137" s="19"/>
      <c r="D137" s="19"/>
      <c r="E137" s="479"/>
      <c r="F137" s="2942"/>
      <c r="G137" s="484" t="s">
        <v>8</v>
      </c>
      <c r="H137" s="2963" t="s">
        <v>318</v>
      </c>
      <c r="I137" s="2964"/>
      <c r="J137" s="2964"/>
      <c r="K137" s="2964"/>
      <c r="L137" s="2964"/>
      <c r="M137" s="2965"/>
      <c r="N137" s="2"/>
      <c r="O137" s="121"/>
      <c r="P137" s="4">
        <f>COUNTIF(E136:E137,U3)</f>
        <v>0</v>
      </c>
      <c r="Q137" s="121"/>
      <c r="R137" s="29"/>
      <c r="S137" s="29"/>
      <c r="T137" s="29"/>
      <c r="U137" s="511"/>
      <c r="V137" s="29"/>
      <c r="W137" s="29"/>
      <c r="X137" s="29"/>
      <c r="Y137" s="29"/>
    </row>
    <row r="138" spans="1:26">
      <c r="A138" s="2"/>
      <c r="B138" s="137"/>
      <c r="C138" s="19"/>
      <c r="D138" s="19"/>
      <c r="E138" s="661"/>
      <c r="F138" s="444"/>
      <c r="G138" s="444"/>
      <c r="H138" s="444"/>
      <c r="I138" s="444"/>
      <c r="J138" s="444"/>
      <c r="K138" s="444" t="s">
        <v>400</v>
      </c>
      <c r="L138" s="873">
        <f>IF(P135&gt;0,1,0)+IF(P137&gt;0,1,0)</f>
        <v>0</v>
      </c>
      <c r="M138" s="443" t="s">
        <v>401</v>
      </c>
      <c r="N138" s="2"/>
      <c r="O138" s="121"/>
      <c r="P138" s="511"/>
      <c r="Q138" s="121"/>
      <c r="R138" s="29"/>
      <c r="S138" s="29"/>
      <c r="T138" s="29"/>
      <c r="U138" s="511"/>
      <c r="V138" s="29"/>
      <c r="W138" s="29"/>
      <c r="X138" s="29"/>
      <c r="Y138" s="29"/>
    </row>
    <row r="139" spans="1:26" s="29" customFormat="1" ht="8.4" customHeight="1">
      <c r="A139" s="19"/>
      <c r="B139" s="137"/>
      <c r="C139" s="504"/>
      <c r="D139" s="270"/>
      <c r="E139" s="270"/>
      <c r="F139" s="2"/>
      <c r="G139" s="2"/>
      <c r="H139" s="2"/>
      <c r="I139" s="2"/>
      <c r="J139" s="2"/>
      <c r="K139" s="2"/>
      <c r="L139" s="2"/>
      <c r="M139" s="2"/>
      <c r="N139" s="22"/>
      <c r="P139"/>
      <c r="R139" s="4"/>
      <c r="S139" s="4"/>
      <c r="T139" s="113"/>
    </row>
    <row r="140" spans="1:26" s="29" customFormat="1">
      <c r="A140" s="19"/>
      <c r="B140" s="137"/>
      <c r="C140" s="504"/>
      <c r="E140" s="646" t="s">
        <v>3</v>
      </c>
      <c r="F140" s="647"/>
      <c r="G140" s="2441"/>
      <c r="H140" s="2442"/>
      <c r="I140" s="990"/>
      <c r="J140" s="990"/>
      <c r="K140" s="990"/>
      <c r="L140" s="990"/>
      <c r="M140" s="991"/>
      <c r="N140" s="22"/>
      <c r="P140" s="511"/>
      <c r="Q140" s="284"/>
      <c r="R140" s="4"/>
      <c r="S140" s="4"/>
      <c r="T140" s="113"/>
      <c r="U140" s="511"/>
      <c r="V140" s="113"/>
      <c r="W140" s="113"/>
      <c r="X140" s="113"/>
      <c r="Y140" s="113"/>
    </row>
    <row r="141" spans="1:26" hidden="1">
      <c r="A141" s="2"/>
      <c r="B141" s="137"/>
      <c r="C141" s="19"/>
      <c r="D141" s="19"/>
      <c r="E141" s="270"/>
      <c r="F141" s="2"/>
      <c r="G141" s="2"/>
      <c r="H141" s="2"/>
      <c r="I141" s="2"/>
      <c r="J141" s="2"/>
      <c r="K141" s="2"/>
      <c r="L141" s="2"/>
      <c r="M141" s="2"/>
      <c r="N141" s="2"/>
      <c r="O141" s="121"/>
      <c r="P141" s="511"/>
      <c r="Q141" s="121"/>
      <c r="R141" s="29"/>
      <c r="S141" s="29"/>
      <c r="T141" s="29"/>
      <c r="U141" s="511"/>
      <c r="V141" s="29"/>
      <c r="W141" s="29"/>
      <c r="X141" s="29"/>
      <c r="Y141" s="29"/>
    </row>
    <row r="142" spans="1:26" s="2109" customFormat="1" ht="16.2" hidden="1" thickBot="1">
      <c r="A142" s="2108"/>
      <c r="D142" s="513" t="s">
        <v>2152</v>
      </c>
      <c r="E142" s="361"/>
      <c r="F142" s="125"/>
      <c r="G142" s="4"/>
      <c r="H142" s="4"/>
      <c r="I142" s="500"/>
      <c r="J142" s="500"/>
      <c r="K142" s="500"/>
      <c r="L142" s="148" t="s">
        <v>2</v>
      </c>
      <c r="M142" s="145">
        <f>重み!M48</f>
        <v>1</v>
      </c>
      <c r="N142" s="2111"/>
      <c r="O142" s="29">
        <f>C141</f>
        <v>0</v>
      </c>
      <c r="P142" s="29">
        <f>D141</f>
        <v>0</v>
      </c>
      <c r="Q142" s="29">
        <f t="shared" ref="Q142:Y142" si="3">E142</f>
        <v>0</v>
      </c>
      <c r="R142" s="29">
        <f t="shared" si="3"/>
        <v>0</v>
      </c>
      <c r="S142" s="29">
        <f t="shared" si="3"/>
        <v>0</v>
      </c>
      <c r="T142" s="29">
        <f t="shared" si="3"/>
        <v>0</v>
      </c>
      <c r="U142" s="29">
        <f t="shared" si="3"/>
        <v>0</v>
      </c>
      <c r="V142" s="29">
        <f t="shared" si="3"/>
        <v>0</v>
      </c>
      <c r="W142" s="29">
        <f t="shared" si="3"/>
        <v>0</v>
      </c>
      <c r="X142" s="29" t="str">
        <f t="shared" si="3"/>
        <v>重み係数＝</v>
      </c>
      <c r="Y142" s="29">
        <f t="shared" si="3"/>
        <v>1</v>
      </c>
      <c r="Z142" s="4"/>
    </row>
    <row r="143" spans="1:26" s="2109" customFormat="1" ht="16.5" hidden="1" customHeight="1" thickBot="1">
      <c r="A143" s="2108"/>
      <c r="B143" s="2117"/>
      <c r="C143" s="2118"/>
      <c r="D143" s="865">
        <f>ROUND(IF(F159=0,1,IF(F159&lt;=1,3,IF(F159&lt;=2,4,5))),0)</f>
        <v>3</v>
      </c>
      <c r="E143" s="1326" t="s">
        <v>415</v>
      </c>
      <c r="F143" s="1327"/>
      <c r="G143" s="1327"/>
      <c r="H143" s="1327"/>
      <c r="I143" s="1327"/>
      <c r="J143" s="1327"/>
      <c r="K143" s="1327"/>
      <c r="L143" s="1327"/>
      <c r="M143" s="1329"/>
      <c r="N143" s="2111"/>
      <c r="O143" s="121"/>
      <c r="P143" s="29"/>
      <c r="Q143" s="121"/>
      <c r="R143" s="29"/>
      <c r="S143" s="29"/>
      <c r="T143" s="29"/>
      <c r="U143" s="29"/>
      <c r="V143" s="29"/>
      <c r="W143" s="29"/>
      <c r="X143" s="29"/>
      <c r="Y143" s="29"/>
      <c r="Z143" s="4"/>
    </row>
    <row r="144" spans="1:26" s="2109" customFormat="1" hidden="1">
      <c r="A144" s="2108"/>
      <c r="B144" s="2117"/>
      <c r="C144" s="2118"/>
      <c r="D144" s="25" t="str">
        <f>IF(D143=$Q$14,$R$9,IF(ROUNDDOWN(D143,0)=$Q$9,$S$9,$R$9))</f>
        <v>　レベル　1</v>
      </c>
      <c r="E144" s="438" t="s">
        <v>1689</v>
      </c>
      <c r="F144" s="487"/>
      <c r="G144" s="487"/>
      <c r="H144" s="487"/>
      <c r="I144" s="487"/>
      <c r="J144" s="487"/>
      <c r="K144" s="487"/>
      <c r="L144" s="487"/>
      <c r="M144" s="488"/>
      <c r="N144" s="2111"/>
      <c r="O144" s="2493" t="s">
        <v>1927</v>
      </c>
      <c r="P144" s="491">
        <v>1</v>
      </c>
      <c r="Q144" s="29"/>
      <c r="R144" s="29"/>
      <c r="S144" s="29"/>
      <c r="T144" s="29"/>
      <c r="U144" s="2143">
        <f>$Q$9</f>
        <v>1</v>
      </c>
      <c r="V144" s="29"/>
      <c r="W144" s="29"/>
      <c r="X144" s="29"/>
      <c r="Y144" s="29"/>
      <c r="Z144" s="4"/>
    </row>
    <row r="145" spans="1:26" s="2109" customFormat="1" hidden="1">
      <c r="A145" s="2108"/>
      <c r="B145" s="2117"/>
      <c r="C145" s="2118"/>
      <c r="D145" s="28" t="str">
        <f>IF(D143=$Q$14,$R$10,IF(ROUNDDOWN(D143,0)=$Q$10,$S$10,$R$10))</f>
        <v>　レベル　2</v>
      </c>
      <c r="E145" s="146" t="s">
        <v>1974</v>
      </c>
      <c r="F145" s="489"/>
      <c r="G145" s="489"/>
      <c r="H145" s="489"/>
      <c r="I145" s="489"/>
      <c r="J145" s="489"/>
      <c r="K145" s="489"/>
      <c r="L145" s="489"/>
      <c r="M145" s="490"/>
      <c r="N145" s="2111"/>
      <c r="O145" s="121"/>
      <c r="P145" s="491" t="s">
        <v>55</v>
      </c>
      <c r="Q145" s="29"/>
      <c r="R145" s="29"/>
      <c r="S145" s="29"/>
      <c r="T145" s="29"/>
      <c r="U145" s="2143">
        <f>$Q$10</f>
        <v>2</v>
      </c>
      <c r="V145" s="29"/>
      <c r="W145" s="29"/>
      <c r="X145" s="29"/>
      <c r="Y145" s="29"/>
      <c r="Z145" s="4"/>
    </row>
    <row r="146" spans="1:26" s="2109" customFormat="1" hidden="1">
      <c r="A146" s="2108"/>
      <c r="B146" s="2117"/>
      <c r="C146" s="2118"/>
      <c r="D146" s="28" t="str">
        <f>IF(D143=$Q$14,$R$11,IF(ROUNDDOWN(D143,0)=$Q$11,$S$11,$R$11))</f>
        <v>■レベル　3</v>
      </c>
      <c r="E146" s="451" t="s">
        <v>1690</v>
      </c>
      <c r="F146" s="489"/>
      <c r="G146" s="489"/>
      <c r="H146" s="489"/>
      <c r="I146" s="489"/>
      <c r="J146" s="489"/>
      <c r="K146" s="489"/>
      <c r="L146" s="489"/>
      <c r="M146" s="490"/>
      <c r="N146" s="2111"/>
      <c r="O146" s="121"/>
      <c r="P146" s="491">
        <f>$Q$11</f>
        <v>3</v>
      </c>
      <c r="Q146" s="29"/>
      <c r="R146" s="29"/>
      <c r="S146" s="29"/>
      <c r="T146" s="29"/>
      <c r="U146" s="2143">
        <f>$Q$11</f>
        <v>3</v>
      </c>
      <c r="V146" s="29"/>
      <c r="W146" s="29"/>
      <c r="X146" s="29"/>
      <c r="Y146" s="29"/>
      <c r="Z146" s="4"/>
    </row>
    <row r="147" spans="1:26" s="2109" customFormat="1" hidden="1">
      <c r="A147" s="2108"/>
      <c r="B147" s="2117"/>
      <c r="C147" s="2118"/>
      <c r="D147" s="28" t="str">
        <f>IF(D143=$Q$14,$R$12,IF(ROUNDDOWN(D143,0)=$Q$12,$S$12,$R$12))</f>
        <v>　レベル　4</v>
      </c>
      <c r="E147" s="451" t="s">
        <v>1691</v>
      </c>
      <c r="F147" s="2630"/>
      <c r="G147" s="2630"/>
      <c r="H147" s="2630"/>
      <c r="I147" s="2630"/>
      <c r="J147" s="2630"/>
      <c r="K147" s="2630"/>
      <c r="L147" s="2630"/>
      <c r="M147" s="2631"/>
      <c r="N147" s="2111"/>
      <c r="O147" s="121"/>
      <c r="P147" s="491">
        <f>$Q$12</f>
        <v>4</v>
      </c>
      <c r="Q147" s="29"/>
      <c r="R147" s="29"/>
      <c r="S147" s="29"/>
      <c r="T147" s="29"/>
      <c r="U147" s="2143">
        <f>$Q$12</f>
        <v>4</v>
      </c>
      <c r="V147" s="29"/>
      <c r="W147" s="29"/>
      <c r="X147" s="29"/>
      <c r="Y147" s="29"/>
      <c r="Z147" s="4"/>
    </row>
    <row r="148" spans="1:26" s="2109" customFormat="1" hidden="1">
      <c r="A148" s="2108"/>
      <c r="B148" s="2117"/>
      <c r="C148" s="2118"/>
      <c r="D148" s="26" t="str">
        <f>IF(D143=$Q$14,$R$13,IF(ROUNDDOWN(D143,0)=$Q$13,$S$13,$R$13))</f>
        <v>　レベル　5</v>
      </c>
      <c r="E148" s="473" t="s">
        <v>1692</v>
      </c>
      <c r="F148" s="2632"/>
      <c r="G148" s="2632"/>
      <c r="H148" s="2632"/>
      <c r="I148" s="2632"/>
      <c r="J148" s="2632"/>
      <c r="K148" s="2632"/>
      <c r="L148" s="2632"/>
      <c r="M148" s="2633"/>
      <c r="N148" s="2111"/>
      <c r="O148" s="121"/>
      <c r="P148" s="491">
        <f>$Q$13</f>
        <v>5</v>
      </c>
      <c r="Q148" s="29"/>
      <c r="R148" s="29"/>
      <c r="S148" s="29"/>
      <c r="T148" s="29"/>
      <c r="U148" s="2143">
        <f>$Q$13</f>
        <v>5</v>
      </c>
      <c r="V148" s="29"/>
      <c r="W148" s="29"/>
      <c r="X148" s="29"/>
      <c r="Y148" s="29"/>
      <c r="Z148" s="4"/>
    </row>
    <row r="149" spans="1:26" s="2114" customFormat="1" hidden="1">
      <c r="A149" s="2119"/>
      <c r="B149" s="2117"/>
      <c r="C149" s="2120"/>
      <c r="D149" s="270"/>
      <c r="E149" s="1325" t="s">
        <v>423</v>
      </c>
      <c r="F149" s="362"/>
      <c r="G149" s="362"/>
      <c r="H149" s="362"/>
      <c r="I149" s="500"/>
      <c r="J149" s="500"/>
      <c r="K149" s="500"/>
      <c r="L149" s="500"/>
      <c r="M149" s="500"/>
      <c r="N149" s="2111"/>
      <c r="O149" s="29"/>
      <c r="P149" s="2143" t="s">
        <v>55</v>
      </c>
      <c r="Q149" t="s">
        <v>87</v>
      </c>
      <c r="R149" s="4"/>
      <c r="S149" s="4"/>
      <c r="T149" s="29"/>
      <c r="U149" s="29"/>
      <c r="V149" s="29"/>
      <c r="W149" s="29"/>
      <c r="X149" s="29"/>
      <c r="Y149" s="29"/>
      <c r="Z149" s="29"/>
    </row>
    <row r="150" spans="1:26" s="2114" customFormat="1" ht="16.2" hidden="1" thickBot="1">
      <c r="A150" s="2119"/>
      <c r="B150" s="2117"/>
      <c r="C150" s="2120"/>
      <c r="D150" s="270"/>
      <c r="E150" s="119" t="s">
        <v>351</v>
      </c>
      <c r="F150" s="428" t="s">
        <v>78</v>
      </c>
      <c r="G150" s="2154" t="s">
        <v>494</v>
      </c>
      <c r="H150" s="447"/>
      <c r="I150" s="2154" t="s">
        <v>1980</v>
      </c>
      <c r="J150" s="447"/>
      <c r="K150" s="447"/>
      <c r="L150" s="447"/>
      <c r="M150" s="448"/>
      <c r="N150" s="2111"/>
      <c r="O150" s="29"/>
      <c r="P150" s="2156"/>
      <c r="Q150"/>
      <c r="R150" s="4"/>
      <c r="S150" s="4"/>
      <c r="T150" s="29"/>
      <c r="U150" s="29"/>
      <c r="V150" s="29"/>
      <c r="W150" s="29"/>
      <c r="X150" s="29"/>
      <c r="Y150" s="29"/>
      <c r="Z150" s="29"/>
    </row>
    <row r="151" spans="1:26" s="2114" customFormat="1" ht="16.2" hidden="1" thickBot="1">
      <c r="A151" s="2119"/>
      <c r="B151" s="2117"/>
      <c r="C151" s="2120"/>
      <c r="D151" s="270"/>
      <c r="E151" s="619"/>
      <c r="F151" s="2634">
        <v>1</v>
      </c>
      <c r="G151" s="2949" t="s">
        <v>1978</v>
      </c>
      <c r="H151" s="2950"/>
      <c r="I151" s="496" t="s">
        <v>1979</v>
      </c>
      <c r="J151" s="668"/>
      <c r="K151" s="668"/>
      <c r="L151" s="668"/>
      <c r="M151" s="669"/>
      <c r="N151" s="2111"/>
      <c r="P151" s="2113"/>
      <c r="Q151" s="2122"/>
      <c r="R151" s="2109"/>
      <c r="S151" s="2109"/>
    </row>
    <row r="152" spans="1:26" s="2114" customFormat="1" ht="15.6" hidden="1" customHeight="1">
      <c r="A152" s="2119"/>
      <c r="B152" s="2117"/>
      <c r="C152" s="2120"/>
      <c r="D152" s="270"/>
      <c r="E152" s="2953" t="s">
        <v>687</v>
      </c>
      <c r="F152" s="2958">
        <v>2</v>
      </c>
      <c r="G152" s="2987" t="s">
        <v>1985</v>
      </c>
      <c r="H152" s="2990" t="s">
        <v>1984</v>
      </c>
      <c r="I152" s="439" t="s">
        <v>1981</v>
      </c>
      <c r="J152" s="430"/>
      <c r="K152" s="430"/>
      <c r="L152" s="430"/>
      <c r="M152" s="431"/>
      <c r="N152" s="2111"/>
      <c r="P152" s="2113"/>
      <c r="Q152" s="2122"/>
      <c r="R152" s="2109"/>
      <c r="S152" s="2109"/>
    </row>
    <row r="153" spans="1:26" s="2114" customFormat="1" hidden="1">
      <c r="A153" s="2119"/>
      <c r="B153" s="2117"/>
      <c r="C153" s="2120"/>
      <c r="D153" s="270"/>
      <c r="E153" s="2954"/>
      <c r="F153" s="2959"/>
      <c r="G153" s="2988"/>
      <c r="H153" s="2991"/>
      <c r="I153" s="439" t="s">
        <v>1982</v>
      </c>
      <c r="J153" s="430"/>
      <c r="K153" s="430"/>
      <c r="L153" s="430"/>
      <c r="M153" s="431"/>
      <c r="N153" s="2111"/>
      <c r="P153" s="2113"/>
      <c r="Q153" s="2122"/>
      <c r="R153" s="2109"/>
      <c r="S153" s="2109"/>
    </row>
    <row r="154" spans="1:26" s="2114" customFormat="1" hidden="1">
      <c r="A154" s="2119"/>
      <c r="B154" s="2117"/>
      <c r="C154" s="2120"/>
      <c r="D154" s="270"/>
      <c r="E154" s="2954"/>
      <c r="F154" s="2959"/>
      <c r="G154" s="2988"/>
      <c r="H154" s="2992"/>
      <c r="I154" s="439" t="s">
        <v>1983</v>
      </c>
      <c r="J154" s="430"/>
      <c r="K154" s="430"/>
      <c r="L154" s="430"/>
      <c r="M154" s="431"/>
      <c r="N154" s="2111"/>
      <c r="P154" s="2113"/>
      <c r="Q154" s="2122"/>
      <c r="R154" s="2109"/>
      <c r="S154" s="2109"/>
    </row>
    <row r="155" spans="1:26" s="2114" customFormat="1" ht="22.2" hidden="1" thickBot="1">
      <c r="A155" s="2119"/>
      <c r="B155" s="2117"/>
      <c r="C155" s="2120"/>
      <c r="D155" s="270"/>
      <c r="E155" s="2955"/>
      <c r="F155" s="2957"/>
      <c r="G155" s="2989"/>
      <c r="H155" s="2647" t="s">
        <v>1992</v>
      </c>
      <c r="I155" s="439" t="s">
        <v>1986</v>
      </c>
      <c r="J155" s="430"/>
      <c r="K155" s="430"/>
      <c r="L155" s="430"/>
      <c r="M155" s="431"/>
      <c r="N155" s="2111"/>
      <c r="P155" s="2113"/>
      <c r="Q155" s="2122"/>
      <c r="R155" s="2109"/>
      <c r="S155" s="2109"/>
    </row>
    <row r="156" spans="1:26" s="2114" customFormat="1" hidden="1">
      <c r="A156" s="2119"/>
      <c r="B156" s="2117"/>
      <c r="C156" s="2120"/>
      <c r="D156" s="270"/>
      <c r="E156" s="2953"/>
      <c r="F156" s="2958">
        <v>3</v>
      </c>
      <c r="G156" s="2951" t="s">
        <v>1987</v>
      </c>
      <c r="H156" s="2952"/>
      <c r="I156" s="439" t="s">
        <v>1988</v>
      </c>
      <c r="J156" s="430"/>
      <c r="K156" s="430"/>
      <c r="L156" s="430"/>
      <c r="M156" s="431"/>
      <c r="N156" s="2111"/>
      <c r="P156" s="2113"/>
      <c r="Q156" s="2122"/>
      <c r="R156" s="2109"/>
      <c r="S156" s="2109"/>
    </row>
    <row r="157" spans="1:26" s="2114" customFormat="1" ht="16.2" hidden="1" thickBot="1">
      <c r="A157" s="2119"/>
      <c r="B157" s="2117"/>
      <c r="C157" s="2120"/>
      <c r="D157" s="270"/>
      <c r="E157" s="2955"/>
      <c r="F157" s="2957"/>
      <c r="G157" s="2951"/>
      <c r="H157" s="2952"/>
      <c r="I157" s="439" t="s">
        <v>1989</v>
      </c>
      <c r="J157" s="430"/>
      <c r="K157" s="430"/>
      <c r="L157" s="430"/>
      <c r="M157" s="431"/>
      <c r="N157" s="2111"/>
      <c r="P157" s="2113"/>
      <c r="Q157" s="2122"/>
      <c r="R157" s="2109"/>
      <c r="S157" s="2109"/>
    </row>
    <row r="158" spans="1:26" s="2114" customFormat="1" ht="15.6" hidden="1" customHeight="1" thickBot="1">
      <c r="A158" s="2119"/>
      <c r="B158" s="2117"/>
      <c r="C158" s="2120"/>
      <c r="D158" s="270"/>
      <c r="E158" s="649"/>
      <c r="F158" s="2648">
        <v>4</v>
      </c>
      <c r="G158" s="2993" t="s">
        <v>1991</v>
      </c>
      <c r="H158" s="2994"/>
      <c r="I158" s="440" t="s">
        <v>1990</v>
      </c>
      <c r="J158" s="426"/>
      <c r="K158" s="426"/>
      <c r="L158" s="426"/>
      <c r="M158" s="427"/>
      <c r="N158" s="2111"/>
      <c r="P158" s="2113"/>
      <c r="Q158" s="2122"/>
      <c r="R158" s="2109"/>
      <c r="S158" s="2109"/>
    </row>
    <row r="159" spans="1:26" s="2114" customFormat="1" hidden="1">
      <c r="A159" s="2119"/>
      <c r="B159" s="2117"/>
      <c r="C159" s="2120"/>
      <c r="D159" s="270"/>
      <c r="E159" s="497" t="s">
        <v>250</v>
      </c>
      <c r="F159" s="838">
        <f>COUNTIF(E151:E158,"○")</f>
        <v>1</v>
      </c>
      <c r="G159" s="845"/>
      <c r="H159" s="845"/>
      <c r="I159" s="118"/>
      <c r="J159" s="405"/>
      <c r="K159" s="118"/>
      <c r="L159" s="405"/>
      <c r="M159" s="2155"/>
      <c r="N159" s="2111"/>
      <c r="P159" s="2113"/>
      <c r="Q159" s="2122"/>
      <c r="R159" s="2109"/>
      <c r="S159" s="2109"/>
    </row>
    <row r="160" spans="1:26" s="2114" customFormat="1" ht="8.25" hidden="1" customHeight="1">
      <c r="A160" s="2119"/>
      <c r="B160" s="2117"/>
      <c r="C160" s="2120"/>
      <c r="D160" s="270"/>
      <c r="E160" s="270"/>
      <c r="F160" s="2"/>
      <c r="G160" s="2"/>
      <c r="H160" s="2"/>
      <c r="I160" s="2"/>
      <c r="J160" s="2"/>
      <c r="K160" s="2"/>
      <c r="L160" s="2"/>
      <c r="M160" s="2"/>
      <c r="N160" s="2111"/>
      <c r="P160" s="2113"/>
      <c r="Q160" s="2122"/>
      <c r="R160" s="2109"/>
      <c r="S160" s="2109"/>
    </row>
    <row r="161" spans="1:25" s="2114" customFormat="1" ht="21" hidden="1" customHeight="1">
      <c r="A161" s="2119"/>
      <c r="B161" s="2117"/>
      <c r="C161" s="2120"/>
      <c r="D161" s="29"/>
      <c r="E161" s="646" t="s">
        <v>3</v>
      </c>
      <c r="F161" s="647"/>
      <c r="G161" s="2441"/>
      <c r="H161" s="2442"/>
      <c r="I161" s="990"/>
      <c r="J161" s="990"/>
      <c r="K161" s="990"/>
      <c r="L161" s="990"/>
      <c r="M161" s="991"/>
      <c r="N161" s="2111"/>
      <c r="P161" s="2113"/>
      <c r="Q161" s="2122"/>
      <c r="R161" s="2109"/>
      <c r="S161" s="2109"/>
      <c r="U161" s="2113"/>
    </row>
    <row r="162" spans="1:25" ht="14.25" hidden="1" customHeight="1">
      <c r="A162" s="2"/>
      <c r="B162" s="137"/>
      <c r="C162" s="19"/>
      <c r="D162" s="19"/>
      <c r="E162" s="270"/>
      <c r="F162" s="2"/>
      <c r="G162" s="2"/>
      <c r="H162" s="2"/>
      <c r="I162" s="2"/>
      <c r="J162" s="2"/>
      <c r="K162" s="2"/>
      <c r="L162" s="2"/>
      <c r="M162" s="2"/>
      <c r="N162" s="2"/>
      <c r="O162" s="121"/>
      <c r="P162" s="511"/>
      <c r="Q162" s="121"/>
      <c r="R162" s="29"/>
      <c r="S162" s="29"/>
      <c r="T162" s="29"/>
      <c r="U162" s="511"/>
      <c r="V162" s="29"/>
      <c r="W162" s="29"/>
      <c r="X162" s="29"/>
      <c r="Y162" s="29"/>
    </row>
    <row r="163" spans="1:25" ht="16.5" hidden="1" customHeight="1" thickBot="1">
      <c r="A163" s="2"/>
      <c r="B163" s="4"/>
      <c r="D163" s="513" t="s">
        <v>2153</v>
      </c>
      <c r="E163" s="271"/>
      <c r="F163" s="125"/>
      <c r="I163" s="500"/>
      <c r="J163" s="500"/>
      <c r="K163" s="500"/>
      <c r="L163" s="148" t="s">
        <v>2</v>
      </c>
      <c r="M163" s="145">
        <f>重み!M49</f>
        <v>0</v>
      </c>
      <c r="N163" s="22"/>
      <c r="O163" s="29">
        <f>C162</f>
        <v>0</v>
      </c>
      <c r="P163" s="29">
        <f>D162</f>
        <v>0</v>
      </c>
      <c r="Q163" s="29">
        <f t="shared" ref="Q163:Y163" si="4">E163</f>
        <v>0</v>
      </c>
      <c r="R163" s="29">
        <f t="shared" si="4"/>
        <v>0</v>
      </c>
      <c r="S163" s="29">
        <f t="shared" si="4"/>
        <v>0</v>
      </c>
      <c r="T163" s="29">
        <f t="shared" si="4"/>
        <v>0</v>
      </c>
      <c r="U163" s="29">
        <f t="shared" si="4"/>
        <v>0</v>
      </c>
      <c r="V163" s="29">
        <f t="shared" si="4"/>
        <v>0</v>
      </c>
      <c r="W163" s="29">
        <f t="shared" si="4"/>
        <v>0</v>
      </c>
      <c r="X163" s="29" t="str">
        <f t="shared" si="4"/>
        <v>重み係数＝</v>
      </c>
      <c r="Y163" s="29">
        <f t="shared" si="4"/>
        <v>0</v>
      </c>
    </row>
    <row r="164" spans="1:25" ht="16.5" hidden="1" customHeight="1" thickBot="1">
      <c r="A164" s="2"/>
      <c r="B164" s="137"/>
      <c r="C164" s="22"/>
      <c r="D164" s="864">
        <v>3</v>
      </c>
      <c r="E164" s="2934" t="s">
        <v>415</v>
      </c>
      <c r="F164" s="2935"/>
      <c r="G164" s="2935"/>
      <c r="H164" s="2935"/>
      <c r="I164" s="2935"/>
      <c r="J164" s="2935"/>
      <c r="K164" s="2935"/>
      <c r="L164" s="2935"/>
      <c r="M164" s="2936"/>
      <c r="N164" s="22"/>
      <c r="O164" s="121"/>
      <c r="P164" s="29"/>
      <c r="Q164" s="121"/>
      <c r="R164" s="29"/>
      <c r="S164" s="29"/>
      <c r="T164" s="29"/>
      <c r="U164" s="29"/>
      <c r="V164" s="29"/>
      <c r="W164" s="29"/>
      <c r="X164" s="29"/>
      <c r="Y164" s="29"/>
    </row>
    <row r="165" spans="1:25" ht="16.5" hidden="1" customHeight="1">
      <c r="A165" s="2"/>
      <c r="B165" s="137"/>
      <c r="C165" s="22"/>
      <c r="D165" s="25" t="str">
        <f>IF(D164=$Q$14,$R$9,IF(ROUNDDOWN(D164,0)=$Q$9,$S$9,$R$9))</f>
        <v>　レベル　1</v>
      </c>
      <c r="E165" s="438" t="s">
        <v>1689</v>
      </c>
      <c r="F165" s="487"/>
      <c r="G165" s="487"/>
      <c r="H165" s="487"/>
      <c r="I165" s="487"/>
      <c r="J165" s="487"/>
      <c r="K165" s="487"/>
      <c r="L165" s="487"/>
      <c r="M165" s="488"/>
      <c r="N165" s="22"/>
      <c r="O165" s="2493" t="s">
        <v>1927</v>
      </c>
      <c r="P165" s="491">
        <v>1</v>
      </c>
      <c r="Q165" s="29"/>
      <c r="R165" s="29"/>
      <c r="S165" s="29"/>
      <c r="T165" s="29"/>
      <c r="U165" s="491">
        <f>$Q$9</f>
        <v>1</v>
      </c>
      <c r="V165" s="29"/>
      <c r="W165" s="29"/>
      <c r="X165" s="29"/>
      <c r="Y165" s="29"/>
    </row>
    <row r="166" spans="1:25" ht="16.5" hidden="1" customHeight="1">
      <c r="A166" s="2"/>
      <c r="B166" s="137"/>
      <c r="C166" s="22"/>
      <c r="D166" s="28" t="str">
        <f>IF(D164=$Q$14,$R$10,IF(ROUNDDOWN(D164,0)=$Q$10,$S$10,$R$10))</f>
        <v>　レベル　2</v>
      </c>
      <c r="E166" s="146" t="s">
        <v>1974</v>
      </c>
      <c r="F166" s="489"/>
      <c r="G166" s="489"/>
      <c r="H166" s="489"/>
      <c r="I166" s="489"/>
      <c r="J166" s="489"/>
      <c r="K166" s="489"/>
      <c r="L166" s="489"/>
      <c r="M166" s="490"/>
      <c r="N166" s="22"/>
      <c r="O166" s="121"/>
      <c r="P166" s="491" t="s">
        <v>55</v>
      </c>
      <c r="Q166" s="29"/>
      <c r="R166" s="29"/>
      <c r="S166" s="29"/>
      <c r="T166" s="29"/>
      <c r="U166" s="491">
        <f>$Q$10</f>
        <v>2</v>
      </c>
      <c r="V166" s="29"/>
      <c r="W166" s="29"/>
      <c r="X166" s="29"/>
      <c r="Y166" s="29"/>
    </row>
    <row r="167" spans="1:25" ht="16.5" hidden="1" customHeight="1">
      <c r="A167" s="2"/>
      <c r="B167" s="137"/>
      <c r="C167" s="22"/>
      <c r="D167" s="28" t="str">
        <f>IF(D164=$Q$14,$R$11,IF(ROUNDDOWN(D164,0)=$Q$11,$S$11,$R$11))</f>
        <v>■レベル　3</v>
      </c>
      <c r="E167" s="439" t="s">
        <v>1993</v>
      </c>
      <c r="F167" s="489"/>
      <c r="G167" s="489"/>
      <c r="H167" s="489"/>
      <c r="I167" s="489"/>
      <c r="J167" s="489"/>
      <c r="K167" s="489"/>
      <c r="L167" s="489"/>
      <c r="M167" s="490"/>
      <c r="N167" s="22"/>
      <c r="O167" s="121"/>
      <c r="P167" s="491">
        <f>$Q$11</f>
        <v>3</v>
      </c>
      <c r="Q167" s="29"/>
      <c r="R167" s="29"/>
      <c r="S167" s="29"/>
      <c r="T167" s="29"/>
      <c r="U167" s="491">
        <f>$Q$11</f>
        <v>3</v>
      </c>
      <c r="V167" s="29"/>
      <c r="W167" s="29"/>
      <c r="X167" s="29"/>
      <c r="Y167" s="29"/>
    </row>
    <row r="168" spans="1:25" ht="16.5" hidden="1" customHeight="1">
      <c r="A168" s="2"/>
      <c r="B168" s="137"/>
      <c r="C168" s="22"/>
      <c r="D168" s="28" t="str">
        <f>IF(D164=$Q$14,$R$12,IF(ROUNDDOWN(D164,0)=$Q$12,$S$12,$R$12))</f>
        <v>　レベル　4</v>
      </c>
      <c r="E168" s="451" t="s">
        <v>1994</v>
      </c>
      <c r="F168" s="2630"/>
      <c r="G168" s="2630"/>
      <c r="H168" s="2630"/>
      <c r="I168" s="2630"/>
      <c r="J168" s="2630"/>
      <c r="K168" s="2630"/>
      <c r="L168" s="2630"/>
      <c r="M168" s="2631"/>
      <c r="N168" s="22"/>
      <c r="O168" s="121"/>
      <c r="P168" s="491">
        <f>$Q$12</f>
        <v>4</v>
      </c>
      <c r="Q168" s="29"/>
      <c r="R168" s="29"/>
      <c r="S168" s="29"/>
      <c r="T168" s="29"/>
      <c r="U168" s="491">
        <f>$Q$12</f>
        <v>4</v>
      </c>
      <c r="V168" s="29"/>
      <c r="W168" s="29"/>
      <c r="X168" s="29"/>
      <c r="Y168" s="29"/>
    </row>
    <row r="169" spans="1:25" ht="30" hidden="1" customHeight="1">
      <c r="A169" s="2"/>
      <c r="B169" s="137"/>
      <c r="C169" s="22"/>
      <c r="D169" s="26" t="str">
        <f>IF(D164=$Q$14,$R$13,IF(ROUNDDOWN(D164,0)=$Q$13,$S$13,$R$13))</f>
        <v>　レベル　5</v>
      </c>
      <c r="E169" s="2963" t="s">
        <v>1995</v>
      </c>
      <c r="F169" s="2964"/>
      <c r="G169" s="2964"/>
      <c r="H169" s="2964"/>
      <c r="I169" s="2964"/>
      <c r="J169" s="2964"/>
      <c r="K169" s="2964"/>
      <c r="L169" s="2964"/>
      <c r="M169" s="2965"/>
      <c r="N169" s="22"/>
      <c r="O169" s="121"/>
      <c r="P169" s="491">
        <f>$Q$13</f>
        <v>5</v>
      </c>
      <c r="Q169" s="29"/>
      <c r="R169" s="29"/>
      <c r="S169" s="29"/>
      <c r="T169" s="29"/>
      <c r="U169" s="491">
        <f>$Q$13</f>
        <v>5</v>
      </c>
      <c r="V169" s="29"/>
      <c r="W169" s="29"/>
      <c r="X169" s="29"/>
      <c r="Y169" s="29"/>
    </row>
    <row r="170" spans="1:25" s="29" customFormat="1" ht="8.25" hidden="1" customHeight="1">
      <c r="A170" s="19"/>
      <c r="B170" s="137"/>
      <c r="C170" s="504"/>
      <c r="D170" s="270"/>
      <c r="E170" s="270"/>
      <c r="F170" s="2"/>
      <c r="G170" s="2"/>
      <c r="H170" s="2"/>
      <c r="I170" s="2"/>
      <c r="J170" s="2"/>
      <c r="K170" s="2"/>
      <c r="L170" s="2"/>
      <c r="M170" s="2"/>
      <c r="N170" s="22"/>
      <c r="P170" s="491" t="s">
        <v>55</v>
      </c>
      <c r="Q170" s="284" t="s">
        <v>87</v>
      </c>
      <c r="R170" s="4"/>
      <c r="S170" s="4"/>
      <c r="T170" s="113"/>
    </row>
    <row r="171" spans="1:25" s="29" customFormat="1" ht="21" hidden="1" customHeight="1">
      <c r="A171" s="19"/>
      <c r="B171" s="137"/>
      <c r="C171" s="504"/>
      <c r="E171" s="646" t="s">
        <v>3</v>
      </c>
      <c r="F171" s="647"/>
      <c r="G171" s="2441"/>
      <c r="H171" s="2442"/>
      <c r="I171" s="990"/>
      <c r="J171" s="990"/>
      <c r="K171" s="990"/>
      <c r="L171" s="990"/>
      <c r="M171" s="991"/>
      <c r="N171" s="22"/>
      <c r="P171" s="511"/>
      <c r="Q171" s="284"/>
      <c r="R171" s="4"/>
      <c r="S171" s="4"/>
      <c r="T171" s="113"/>
      <c r="U171" s="511"/>
      <c r="V171" s="113"/>
      <c r="W171" s="113"/>
      <c r="X171" s="113"/>
      <c r="Y171" s="113"/>
    </row>
    <row r="172" spans="1:25" ht="14.25" customHeight="1">
      <c r="A172" s="2"/>
      <c r="B172" s="137"/>
      <c r="C172" s="19"/>
      <c r="D172" s="19"/>
      <c r="E172" s="270"/>
      <c r="F172" s="2"/>
      <c r="G172" s="2"/>
      <c r="H172" s="2"/>
      <c r="I172" s="2"/>
      <c r="J172" s="2"/>
      <c r="K172" s="2"/>
      <c r="L172" s="2"/>
      <c r="M172" s="2"/>
      <c r="N172" s="2"/>
      <c r="O172" s="121"/>
      <c r="P172" s="511"/>
      <c r="Q172" s="121"/>
      <c r="R172" s="29"/>
      <c r="S172" s="29"/>
      <c r="T172" s="29"/>
      <c r="U172" s="511"/>
      <c r="V172" s="29"/>
      <c r="W172" s="29"/>
      <c r="X172" s="29"/>
      <c r="Y172" s="29"/>
    </row>
    <row r="173" spans="1:25" s="285" customFormat="1" ht="14.25" customHeight="1">
      <c r="A173" s="14"/>
      <c r="B173" s="273">
        <v>2.2000000000000002</v>
      </c>
      <c r="C173" s="24" t="s">
        <v>135</v>
      </c>
      <c r="D173" s="24"/>
      <c r="E173" s="24"/>
      <c r="F173" s="271"/>
      <c r="G173" s="23"/>
      <c r="H173" s="23"/>
      <c r="I173" s="23"/>
      <c r="J173" s="23"/>
      <c r="K173" s="23"/>
      <c r="L173" s="23"/>
      <c r="M173" s="23"/>
      <c r="N173" s="14"/>
    </row>
    <row r="174" spans="1:25" ht="16.5" customHeight="1" thickBot="1">
      <c r="A174" s="2"/>
      <c r="B174" s="137"/>
      <c r="C174" s="21"/>
      <c r="D174" s="115"/>
      <c r="E174" s="361"/>
      <c r="F174" s="125"/>
      <c r="I174" s="23"/>
      <c r="J174" s="23"/>
      <c r="K174" s="23"/>
      <c r="L174" s="148" t="s">
        <v>2</v>
      </c>
      <c r="M174" s="38">
        <f>重み!M50</f>
        <v>0.35</v>
      </c>
      <c r="N174" s="5"/>
      <c r="O174" s="29">
        <f>C174</f>
        <v>0</v>
      </c>
      <c r="P174" s="29">
        <f>D174</f>
        <v>0</v>
      </c>
      <c r="Q174" s="29">
        <f>E174</f>
        <v>0</v>
      </c>
      <c r="R174" s="29">
        <f>F174</f>
        <v>0</v>
      </c>
      <c r="S174" s="29" t="str">
        <f>L174</f>
        <v>重み係数＝</v>
      </c>
      <c r="T174" s="29">
        <f t="shared" ref="T174:Y174" si="5">M174</f>
        <v>0.35</v>
      </c>
      <c r="U174" s="29">
        <f t="shared" si="5"/>
        <v>0</v>
      </c>
      <c r="V174" s="29">
        <f t="shared" si="5"/>
        <v>0</v>
      </c>
      <c r="W174" s="29">
        <f t="shared" si="5"/>
        <v>0</v>
      </c>
      <c r="X174" s="29">
        <f t="shared" si="5"/>
        <v>0</v>
      </c>
      <c r="Y174" s="29">
        <f t="shared" si="5"/>
        <v>0</v>
      </c>
    </row>
    <row r="175" spans="1:25" ht="16.5" customHeight="1" thickBot="1">
      <c r="A175" s="2"/>
      <c r="B175" s="137"/>
      <c r="C175" s="21"/>
      <c r="D175" s="865">
        <f>ROUND(IF(F187=0,3,IF(F187&lt;=1,4,5)),0)</f>
        <v>5</v>
      </c>
      <c r="E175" s="2934" t="s">
        <v>415</v>
      </c>
      <c r="F175" s="2935"/>
      <c r="G175" s="2935"/>
      <c r="H175" s="2935"/>
      <c r="I175" s="2935"/>
      <c r="J175" s="2935"/>
      <c r="K175" s="2935"/>
      <c r="L175" s="2935"/>
      <c r="M175" s="2936"/>
      <c r="N175" s="2"/>
      <c r="O175" s="121"/>
      <c r="P175" s="29"/>
      <c r="Q175" s="121"/>
      <c r="R175" s="29"/>
      <c r="S175" s="29"/>
      <c r="T175" s="29"/>
      <c r="U175" s="29"/>
      <c r="V175" s="29"/>
      <c r="W175" s="29"/>
      <c r="X175" s="29"/>
      <c r="Y175" s="29"/>
    </row>
    <row r="176" spans="1:25" ht="16.5" customHeight="1">
      <c r="A176" s="2"/>
      <c r="B176" s="137"/>
      <c r="C176" s="21"/>
      <c r="D176" s="25" t="str">
        <f>IF(D175=$Q$14,$R$9,IF(ROUNDDOWN(D175,0)=$Q$9,$S$9,$R$9))</f>
        <v>　レベル　1</v>
      </c>
      <c r="E176" s="438" t="s">
        <v>409</v>
      </c>
      <c r="F176" s="487"/>
      <c r="G176" s="487"/>
      <c r="H176" s="487"/>
      <c r="I176" s="487"/>
      <c r="J176" s="487"/>
      <c r="K176" s="487"/>
      <c r="L176" s="487"/>
      <c r="M176" s="488"/>
      <c r="N176" s="2"/>
      <c r="O176" s="121"/>
      <c r="P176" s="491" t="s">
        <v>827</v>
      </c>
      <c r="Q176" s="121"/>
      <c r="R176" s="29"/>
      <c r="S176" s="29"/>
      <c r="T176" s="29"/>
      <c r="U176" s="491">
        <f>$Q$9</f>
        <v>1</v>
      </c>
      <c r="V176" s="29"/>
      <c r="W176" s="29"/>
      <c r="X176" s="29"/>
      <c r="Y176" s="29"/>
    </row>
    <row r="177" spans="1:25" ht="16.5" customHeight="1">
      <c r="A177" s="2"/>
      <c r="B177" s="137"/>
      <c r="C177" s="21"/>
      <c r="D177" s="28" t="str">
        <f>IF(D175=$Q$14,$R$10,IF(ROUNDDOWN(D175,0)=$Q$10,$S$10,$R$10))</f>
        <v>　レベル　2</v>
      </c>
      <c r="E177" s="439" t="s">
        <v>409</v>
      </c>
      <c r="F177" s="489"/>
      <c r="G177" s="489"/>
      <c r="H177" s="489"/>
      <c r="I177" s="489"/>
      <c r="J177" s="489"/>
      <c r="K177" s="489"/>
      <c r="L177" s="489"/>
      <c r="M177" s="490"/>
      <c r="N177" s="2"/>
      <c r="O177" s="121"/>
      <c r="P177" s="491" t="s">
        <v>845</v>
      </c>
      <c r="Q177" s="121"/>
      <c r="R177" s="29"/>
      <c r="S177" s="29"/>
      <c r="T177" s="29"/>
      <c r="U177" s="491">
        <f>$Q$10</f>
        <v>2</v>
      </c>
      <c r="V177" s="29"/>
      <c r="W177" s="29"/>
      <c r="X177" s="29"/>
      <c r="Y177" s="29"/>
    </row>
    <row r="178" spans="1:25" ht="16.5" customHeight="1">
      <c r="A178" s="2"/>
      <c r="B178" s="137"/>
      <c r="C178" s="21"/>
      <c r="D178" s="28" t="str">
        <f>IF(D175=$Q$14,$R$11,IF(ROUNDDOWN(D175,0)=$Q$11,$S$11,$R$11))</f>
        <v>　レベル　3</v>
      </c>
      <c r="E178" s="439" t="s">
        <v>11</v>
      </c>
      <c r="F178" s="489"/>
      <c r="G178" s="489"/>
      <c r="H178" s="489"/>
      <c r="I178" s="489"/>
      <c r="J178" s="489"/>
      <c r="K178" s="489"/>
      <c r="L178" s="489"/>
      <c r="M178" s="490"/>
      <c r="N178" s="2"/>
      <c r="O178" s="121"/>
      <c r="P178" s="491">
        <f>$Q$11</f>
        <v>3</v>
      </c>
      <c r="Q178" s="121"/>
      <c r="R178" s="29"/>
      <c r="S178" s="29"/>
      <c r="T178" s="29"/>
      <c r="U178" s="491">
        <f>$Q$11</f>
        <v>3</v>
      </c>
      <c r="V178" s="29"/>
      <c r="W178" s="29"/>
      <c r="X178" s="29"/>
      <c r="Y178" s="29"/>
    </row>
    <row r="179" spans="1:25" ht="16.5" customHeight="1">
      <c r="A179" s="2"/>
      <c r="B179" s="137"/>
      <c r="C179" s="21"/>
      <c r="D179" s="28" t="str">
        <f>IF(D175=$Q$14,$R$12,IF(ROUNDDOWN(D175,0)=$Q$12,$S$12,$R$12))</f>
        <v>　レベル　4</v>
      </c>
      <c r="E179" s="451" t="s">
        <v>12</v>
      </c>
      <c r="F179" s="2630"/>
      <c r="G179" s="2630"/>
      <c r="H179" s="2630"/>
      <c r="I179" s="2630"/>
      <c r="J179" s="2630"/>
      <c r="K179" s="2630"/>
      <c r="L179" s="2630"/>
      <c r="M179" s="2631"/>
      <c r="N179" s="2"/>
      <c r="O179" s="121"/>
      <c r="P179" s="491">
        <f>$Q$12</f>
        <v>4</v>
      </c>
      <c r="Q179" s="121"/>
      <c r="R179" s="29"/>
      <c r="S179" s="29"/>
      <c r="T179" s="29"/>
      <c r="U179" s="491">
        <f>$Q$12</f>
        <v>4</v>
      </c>
      <c r="V179" s="29"/>
      <c r="W179" s="29"/>
      <c r="X179" s="29"/>
      <c r="Y179" s="29"/>
    </row>
    <row r="180" spans="1:25" ht="16.5" customHeight="1">
      <c r="A180" s="2"/>
      <c r="B180" s="137"/>
      <c r="C180" s="21"/>
      <c r="D180" s="26" t="str">
        <f>IF(D175=$Q$14,$R$13,IF(ROUNDDOWN(D175,0)=$Q$13,$S$13,$R$13))</f>
        <v>■レベル　5</v>
      </c>
      <c r="E180" s="473" t="s">
        <v>13</v>
      </c>
      <c r="F180" s="2632"/>
      <c r="G180" s="2632"/>
      <c r="H180" s="2632"/>
      <c r="I180" s="2632"/>
      <c r="J180" s="2632"/>
      <c r="K180" s="2632"/>
      <c r="L180" s="2632"/>
      <c r="M180" s="2633"/>
      <c r="N180" s="2"/>
      <c r="O180" s="121"/>
      <c r="P180" s="491">
        <f>$Q$13</f>
        <v>5</v>
      </c>
      <c r="Q180" s="121"/>
      <c r="R180" s="29"/>
      <c r="S180" s="29"/>
      <c r="T180" s="29"/>
      <c r="U180" s="491">
        <f>$Q$13</f>
        <v>5</v>
      </c>
      <c r="V180" s="29"/>
      <c r="W180" s="29"/>
      <c r="X180" s="29"/>
      <c r="Y180" s="29"/>
    </row>
    <row r="181" spans="1:25" ht="16.5" customHeight="1">
      <c r="A181" s="2"/>
      <c r="B181" s="137"/>
      <c r="C181" s="21"/>
      <c r="D181" s="19"/>
      <c r="E181" s="127" t="s">
        <v>35</v>
      </c>
      <c r="F181" s="19"/>
      <c r="G181" s="126"/>
      <c r="H181" s="32"/>
      <c r="I181" s="32"/>
      <c r="J181" s="19"/>
      <c r="K181" s="19"/>
      <c r="L181" s="19"/>
      <c r="M181" s="19"/>
      <c r="N181" s="2"/>
      <c r="O181" s="121"/>
      <c r="P181" s="491" t="s">
        <v>68</v>
      </c>
      <c r="Q181" s="284" t="s">
        <v>87</v>
      </c>
      <c r="R181" s="29"/>
      <c r="S181" s="29"/>
      <c r="T181" s="29"/>
      <c r="U181" s="491" t="str">
        <f>$Q$14</f>
        <v>対象外</v>
      </c>
      <c r="V181" s="29"/>
      <c r="W181" s="29"/>
      <c r="X181" s="29"/>
      <c r="Y181" s="29"/>
    </row>
    <row r="182" spans="1:25" ht="16.2" thickBot="1">
      <c r="A182" s="2"/>
      <c r="B182" s="137"/>
      <c r="C182" s="21"/>
      <c r="D182" s="19"/>
      <c r="E182" s="119" t="s">
        <v>351</v>
      </c>
      <c r="F182" s="428" t="s">
        <v>78</v>
      </c>
      <c r="G182" s="3003" t="s">
        <v>686</v>
      </c>
      <c r="H182" s="3004"/>
      <c r="I182" s="3004"/>
      <c r="J182" s="3004"/>
      <c r="K182" s="3004"/>
      <c r="L182" s="3004"/>
      <c r="M182" s="3005"/>
      <c r="N182" s="2"/>
      <c r="O182" s="121"/>
      <c r="P182" s="511"/>
      <c r="Q182" s="121"/>
      <c r="R182" s="29"/>
      <c r="S182" s="29"/>
      <c r="T182" s="29"/>
      <c r="U182" s="511"/>
      <c r="V182" s="29"/>
      <c r="W182" s="29"/>
      <c r="X182" s="29"/>
      <c r="Y182" s="29"/>
    </row>
    <row r="183" spans="1:25">
      <c r="A183" s="2"/>
      <c r="B183" s="137"/>
      <c r="C183" s="21"/>
      <c r="D183" s="19"/>
      <c r="E183" s="330" t="s">
        <v>687</v>
      </c>
      <c r="F183" s="429">
        <v>1</v>
      </c>
      <c r="G183" s="457" t="s">
        <v>733</v>
      </c>
      <c r="H183" s="458"/>
      <c r="I183" s="458"/>
      <c r="J183" s="458"/>
      <c r="K183" s="458"/>
      <c r="L183" s="458"/>
      <c r="M183" s="446"/>
      <c r="N183" s="2"/>
      <c r="O183" s="121"/>
      <c r="P183" s="511"/>
      <c r="Q183" s="121"/>
      <c r="R183" s="29"/>
      <c r="S183" s="29"/>
      <c r="T183" s="29"/>
      <c r="U183" s="511"/>
      <c r="V183" s="29"/>
      <c r="W183" s="29"/>
      <c r="X183" s="29"/>
      <c r="Y183" s="29"/>
    </row>
    <row r="184" spans="1:25">
      <c r="A184" s="2"/>
      <c r="B184" s="137"/>
      <c r="C184" s="21"/>
      <c r="D184" s="19"/>
      <c r="E184" s="640" t="s">
        <v>687</v>
      </c>
      <c r="F184" s="464">
        <v>2</v>
      </c>
      <c r="G184" s="452" t="s">
        <v>136</v>
      </c>
      <c r="H184" s="453"/>
      <c r="I184" s="453"/>
      <c r="J184" s="453"/>
      <c r="K184" s="453"/>
      <c r="L184" s="453"/>
      <c r="M184" s="455"/>
      <c r="N184" s="2"/>
      <c r="O184" s="121"/>
      <c r="P184" s="511"/>
      <c r="Q184" s="121"/>
      <c r="R184" s="29"/>
      <c r="S184" s="29"/>
      <c r="T184" s="29"/>
      <c r="U184" s="511"/>
      <c r="V184" s="29"/>
      <c r="W184" s="29"/>
      <c r="X184" s="29"/>
      <c r="Y184" s="29"/>
    </row>
    <row r="185" spans="1:25" ht="24" customHeight="1">
      <c r="A185" s="2"/>
      <c r="B185" s="137"/>
      <c r="C185" s="21"/>
      <c r="D185" s="19"/>
      <c r="E185" s="449"/>
      <c r="F185" s="464">
        <v>3</v>
      </c>
      <c r="G185" s="2995" t="s">
        <v>734</v>
      </c>
      <c r="H185" s="3006"/>
      <c r="I185" s="3006"/>
      <c r="J185" s="3006"/>
      <c r="K185" s="3006"/>
      <c r="L185" s="3006"/>
      <c r="M185" s="3007"/>
      <c r="N185" s="2"/>
      <c r="O185" s="121"/>
      <c r="P185" s="511"/>
      <c r="Q185" s="121"/>
      <c r="R185" s="29"/>
      <c r="S185" s="29"/>
      <c r="T185" s="29"/>
      <c r="U185" s="511"/>
      <c r="V185" s="29"/>
      <c r="W185" s="29"/>
      <c r="X185" s="29"/>
      <c r="Y185" s="29"/>
    </row>
    <row r="186" spans="1:25" ht="24" customHeight="1" thickBot="1">
      <c r="A186" s="2"/>
      <c r="B186" s="137"/>
      <c r="C186" s="21"/>
      <c r="D186" s="19"/>
      <c r="E186" s="479"/>
      <c r="F186" s="466">
        <v>4</v>
      </c>
      <c r="G186" s="2998" t="s">
        <v>735</v>
      </c>
      <c r="H186" s="2999"/>
      <c r="I186" s="2999"/>
      <c r="J186" s="2999"/>
      <c r="K186" s="2999"/>
      <c r="L186" s="2999"/>
      <c r="M186" s="3000"/>
      <c r="N186" s="2"/>
      <c r="O186" s="121"/>
      <c r="P186" s="511"/>
      <c r="Q186" s="121"/>
      <c r="R186" s="29"/>
      <c r="S186" s="29"/>
      <c r="T186" s="29"/>
      <c r="U186" s="511"/>
      <c r="V186" s="29"/>
      <c r="W186" s="29"/>
      <c r="X186" s="29"/>
      <c r="Y186" s="29"/>
    </row>
    <row r="187" spans="1:25" ht="20.25" customHeight="1">
      <c r="A187" s="2"/>
      <c r="B187" s="839"/>
      <c r="C187" s="21"/>
      <c r="D187" s="19"/>
      <c r="E187" s="497" t="s">
        <v>483</v>
      </c>
      <c r="F187" s="838">
        <f>COUNTIF(E183:E186,"○")</f>
        <v>2</v>
      </c>
      <c r="G187" s="840"/>
      <c r="H187" s="840"/>
      <c r="I187" s="325"/>
      <c r="J187" s="326"/>
      <c r="K187" s="325"/>
      <c r="L187" s="326"/>
      <c r="M187" s="327"/>
      <c r="N187" s="2"/>
      <c r="O187" s="121"/>
      <c r="P187" s="511"/>
      <c r="Q187" s="121"/>
      <c r="R187" s="29"/>
      <c r="S187" s="29"/>
      <c r="T187" s="29"/>
      <c r="U187" s="841"/>
      <c r="V187" s="29"/>
      <c r="W187" s="29"/>
      <c r="X187" s="29"/>
      <c r="Y187" s="29"/>
    </row>
    <row r="188" spans="1:25" s="29" customFormat="1" ht="8.25" customHeight="1">
      <c r="A188" s="19"/>
      <c r="B188" s="137"/>
      <c r="C188" s="504"/>
      <c r="D188" s="270"/>
      <c r="E188" s="270"/>
      <c r="F188" s="2"/>
      <c r="G188" s="2"/>
      <c r="H188" s="2"/>
      <c r="I188" s="2"/>
      <c r="J188" s="2"/>
      <c r="K188" s="2"/>
      <c r="L188" s="2"/>
      <c r="M188" s="2"/>
      <c r="N188" s="22"/>
      <c r="P188" s="511"/>
      <c r="R188" s="4"/>
      <c r="S188" s="4"/>
      <c r="T188" s="113"/>
    </row>
    <row r="189" spans="1:25" s="29" customFormat="1" ht="21" customHeight="1">
      <c r="A189" s="19"/>
      <c r="B189" s="137"/>
      <c r="C189" s="504"/>
      <c r="E189" s="646" t="s">
        <v>3</v>
      </c>
      <c r="F189" s="647"/>
      <c r="G189" s="2441"/>
      <c r="H189" s="2442"/>
      <c r="I189" s="990"/>
      <c r="J189" s="990"/>
      <c r="K189" s="990"/>
      <c r="L189" s="990"/>
      <c r="M189" s="991"/>
      <c r="N189" s="22"/>
      <c r="P189" s="511"/>
      <c r="Q189" s="284"/>
      <c r="R189" s="4"/>
      <c r="S189" s="4"/>
      <c r="T189" s="113"/>
      <c r="U189" s="511"/>
      <c r="V189" s="113"/>
      <c r="W189" s="113"/>
      <c r="X189" s="113"/>
      <c r="Y189" s="113"/>
    </row>
    <row r="190" spans="1:25" ht="14.25" customHeight="1">
      <c r="A190" s="2"/>
      <c r="B190" s="137"/>
      <c r="C190" s="21"/>
      <c r="D190" s="19"/>
      <c r="E190" s="19"/>
      <c r="F190" s="19"/>
      <c r="G190" s="19"/>
      <c r="H190" s="19"/>
      <c r="I190" s="19"/>
      <c r="J190" s="19"/>
      <c r="K190" s="19"/>
      <c r="L190" s="19"/>
      <c r="M190" s="19"/>
      <c r="N190" s="2"/>
      <c r="O190" s="121"/>
      <c r="P190" s="511"/>
      <c r="Q190" s="121"/>
      <c r="R190" s="29"/>
      <c r="S190" s="29"/>
      <c r="T190" s="29"/>
      <c r="U190" s="511"/>
      <c r="V190" s="29"/>
      <c r="W190" s="29"/>
      <c r="X190" s="29"/>
      <c r="Y190" s="29"/>
    </row>
    <row r="191" spans="1:25" s="285" customFormat="1" ht="14.25" customHeight="1">
      <c r="A191" s="14"/>
      <c r="B191" s="137">
        <v>3</v>
      </c>
      <c r="C191" s="23" t="s">
        <v>352</v>
      </c>
      <c r="D191" s="23"/>
      <c r="E191" s="23"/>
      <c r="F191" s="23"/>
      <c r="G191" s="23"/>
      <c r="H191" s="23"/>
      <c r="I191" s="23"/>
      <c r="J191" s="23"/>
      <c r="K191" s="23"/>
      <c r="L191" s="23"/>
      <c r="M191" s="23"/>
      <c r="N191" s="14"/>
    </row>
    <row r="192" spans="1:25" s="285" customFormat="1" ht="14.25" customHeight="1" thickBot="1">
      <c r="A192" s="14"/>
      <c r="B192" s="137">
        <v>3.1</v>
      </c>
      <c r="C192" s="2516" t="str">
        <f>重み!C52</f>
        <v>広さと間取り</v>
      </c>
      <c r="D192" s="23"/>
      <c r="E192" s="271"/>
      <c r="F192" s="23"/>
      <c r="G192" s="23"/>
      <c r="H192" s="23"/>
      <c r="I192" s="23"/>
      <c r="J192" s="271"/>
      <c r="K192" s="23"/>
      <c r="L192" s="23"/>
      <c r="M192" s="23"/>
      <c r="N192" s="14"/>
    </row>
    <row r="193" spans="1:25" s="285" customFormat="1" ht="14.25" hidden="1" customHeight="1" thickBot="1">
      <c r="A193" s="14"/>
      <c r="B193" s="267"/>
      <c r="C193" s="23"/>
      <c r="D193" s="2649" t="s">
        <v>1996</v>
      </c>
      <c r="E193" s="271"/>
      <c r="F193" s="23"/>
      <c r="G193" s="23"/>
      <c r="H193" s="23"/>
      <c r="I193" s="23"/>
      <c r="J193" s="271"/>
      <c r="K193" s="23"/>
      <c r="L193" s="23"/>
      <c r="M193" s="23"/>
      <c r="N193" s="14"/>
    </row>
    <row r="194" spans="1:25" ht="17.25" customHeight="1" thickBot="1">
      <c r="A194" s="2"/>
      <c r="B194" s="137"/>
      <c r="C194" s="30"/>
      <c r="D194" s="866">
        <f>IF(D195+L213&lt;=5,D195+L213,5)</f>
        <v>5</v>
      </c>
      <c r="E194" s="361"/>
      <c r="F194" s="125"/>
      <c r="I194" s="501"/>
      <c r="J194" s="361"/>
      <c r="K194" s="125"/>
      <c r="L194" s="148" t="s">
        <v>2</v>
      </c>
      <c r="M194" s="38">
        <f>重み!M53</f>
        <v>1</v>
      </c>
      <c r="N194" s="5"/>
      <c r="O194" s="29">
        <f>C194</f>
        <v>0</v>
      </c>
      <c r="P194" s="29">
        <f>D194</f>
        <v>5</v>
      </c>
      <c r="Q194" s="29">
        <f>E194</f>
        <v>0</v>
      </c>
      <c r="R194" s="29">
        <f>F194</f>
        <v>0</v>
      </c>
      <c r="S194" s="29" t="str">
        <f>L194</f>
        <v>重み係数＝</v>
      </c>
      <c r="T194" s="29">
        <f t="shared" ref="T194:Y194" si="6">M194</f>
        <v>1</v>
      </c>
      <c r="U194" s="29">
        <f t="shared" si="6"/>
        <v>0</v>
      </c>
      <c r="V194" s="29">
        <f t="shared" si="6"/>
        <v>0</v>
      </c>
      <c r="W194" s="29">
        <f t="shared" si="6"/>
        <v>5</v>
      </c>
      <c r="X194" s="29">
        <f t="shared" si="6"/>
        <v>0</v>
      </c>
      <c r="Y194" s="29">
        <f t="shared" si="6"/>
        <v>0</v>
      </c>
    </row>
    <row r="195" spans="1:25" ht="17.25" customHeight="1">
      <c r="A195" s="2"/>
      <c r="B195" s="137"/>
      <c r="C195" s="30"/>
      <c r="D195" s="3001">
        <v>4</v>
      </c>
      <c r="E195" s="2934" t="s">
        <v>415</v>
      </c>
      <c r="F195" s="2935"/>
      <c r="G195" s="2935"/>
      <c r="H195" s="2935"/>
      <c r="I195" s="2935"/>
      <c r="J195" s="2935"/>
      <c r="K195" s="2935"/>
      <c r="L195" s="2935"/>
      <c r="M195" s="2936"/>
      <c r="N195" s="2"/>
      <c r="O195" s="121"/>
      <c r="P195" s="29"/>
      <c r="Q195" s="121"/>
      <c r="R195" s="29"/>
      <c r="S195" s="29"/>
      <c r="T195" s="29"/>
      <c r="U195" s="29"/>
      <c r="V195" s="29"/>
      <c r="W195" s="29"/>
      <c r="X195" s="29"/>
      <c r="Y195" s="29"/>
    </row>
    <row r="196" spans="1:25" ht="17.25" customHeight="1" thickBot="1">
      <c r="A196" s="2"/>
      <c r="B196" s="137"/>
      <c r="C196" s="30"/>
      <c r="D196" s="3002"/>
      <c r="E196" s="518" t="s">
        <v>834</v>
      </c>
      <c r="F196" s="516"/>
      <c r="G196" s="520" t="s">
        <v>677</v>
      </c>
      <c r="H196" s="517"/>
      <c r="I196" s="518" t="s">
        <v>178</v>
      </c>
      <c r="J196" s="116"/>
      <c r="K196" s="520" t="s">
        <v>181</v>
      </c>
      <c r="L196" s="117"/>
      <c r="M196" s="120"/>
      <c r="N196" s="2"/>
      <c r="O196" s="121"/>
      <c r="Q196" s="121"/>
      <c r="R196" s="29"/>
      <c r="S196" s="29"/>
      <c r="T196" s="29"/>
      <c r="V196" s="29"/>
      <c r="W196" s="29"/>
      <c r="X196" s="29"/>
      <c r="Y196" s="29"/>
    </row>
    <row r="197" spans="1:25" ht="17.25" customHeight="1">
      <c r="A197" s="2"/>
      <c r="B197" s="137"/>
      <c r="C197" s="37"/>
      <c r="D197" s="25" t="str">
        <f>IF(D195=$Q$14,$R$9,IF(ROUNDDOWN(D195,0)=$Q$9,$S$9,$R$9))</f>
        <v>　レベル　1</v>
      </c>
      <c r="E197" s="139" t="s">
        <v>409</v>
      </c>
      <c r="F197" s="39"/>
      <c r="G197" s="139" t="s">
        <v>409</v>
      </c>
      <c r="H197" s="39"/>
      <c r="I197" s="139" t="s">
        <v>409</v>
      </c>
      <c r="J197" s="39"/>
      <c r="K197" s="139" t="s">
        <v>409</v>
      </c>
      <c r="L197" s="39"/>
      <c r="M197" s="140"/>
      <c r="N197" s="2"/>
      <c r="O197" s="2493" t="s">
        <v>2012</v>
      </c>
      <c r="P197" s="491" t="s">
        <v>846</v>
      </c>
      <c r="Q197" s="121"/>
      <c r="R197" s="29"/>
      <c r="S197" s="29"/>
      <c r="T197" s="29"/>
      <c r="U197" s="491">
        <f>$Q$9</f>
        <v>1</v>
      </c>
      <c r="V197" s="29"/>
      <c r="W197" s="29"/>
      <c r="X197" s="29"/>
      <c r="Y197" s="29"/>
    </row>
    <row r="198" spans="1:25" ht="17.25" customHeight="1">
      <c r="A198" s="2"/>
      <c r="B198" s="137"/>
      <c r="C198" s="37"/>
      <c r="D198" s="28" t="str">
        <f>IF(D195=$Q$14,$R$10,IF(ROUNDDOWN(D195,0)=$Q$10,$S$10,$R$10))</f>
        <v>　レベル　2</v>
      </c>
      <c r="E198" s="141" t="s">
        <v>676</v>
      </c>
      <c r="F198" s="2635"/>
      <c r="G198" s="141" t="s">
        <v>177</v>
      </c>
      <c r="H198" s="2635"/>
      <c r="I198" s="141" t="s">
        <v>179</v>
      </c>
      <c r="J198" s="2635"/>
      <c r="K198" s="141" t="s">
        <v>182</v>
      </c>
      <c r="L198" s="2635"/>
      <c r="M198" s="142"/>
      <c r="N198" s="2"/>
      <c r="O198" s="121"/>
      <c r="P198" s="491">
        <f>$Q$10</f>
        <v>2</v>
      </c>
      <c r="Q198" s="121"/>
      <c r="R198" s="29"/>
      <c r="S198" s="29"/>
      <c r="T198" s="29"/>
      <c r="U198" s="491">
        <f>$Q$10</f>
        <v>2</v>
      </c>
      <c r="V198" s="29"/>
      <c r="W198" s="29"/>
      <c r="X198" s="29"/>
      <c r="Y198" s="29"/>
    </row>
    <row r="199" spans="1:25" ht="17.25" customHeight="1">
      <c r="A199" s="2"/>
      <c r="B199" s="137"/>
      <c r="C199" s="37"/>
      <c r="D199" s="28" t="str">
        <f>IF(D195=$Q$14,$R$11,IF(ROUNDDOWN(D195,0)=$Q$11,$S$11,$R$11))</f>
        <v>　レベル　3</v>
      </c>
      <c r="E199" s="141" t="s">
        <v>972</v>
      </c>
      <c r="F199" s="2635"/>
      <c r="G199" s="141" t="s">
        <v>974</v>
      </c>
      <c r="H199" s="2635"/>
      <c r="I199" s="141" t="s">
        <v>976</v>
      </c>
      <c r="J199" s="2635"/>
      <c r="K199" s="141" t="s">
        <v>977</v>
      </c>
      <c r="L199" s="2635"/>
      <c r="M199" s="142"/>
      <c r="N199" s="2"/>
      <c r="O199" s="121"/>
      <c r="P199" s="491">
        <f>$Q$11</f>
        <v>3</v>
      </c>
      <c r="Q199" s="121"/>
      <c r="R199" s="29"/>
      <c r="S199" s="29"/>
      <c r="T199" s="29"/>
      <c r="U199" s="491">
        <f>$Q$11</f>
        <v>3</v>
      </c>
      <c r="V199" s="29"/>
      <c r="W199" s="29"/>
      <c r="X199" s="29"/>
      <c r="Y199" s="29"/>
    </row>
    <row r="200" spans="1:25" ht="17.25" customHeight="1">
      <c r="A200" s="2"/>
      <c r="B200" s="137"/>
      <c r="C200" s="37"/>
      <c r="D200" s="28" t="str">
        <f>IF(D195=$Q$14,$R$12,IF(ROUNDDOWN(D195,0)=$Q$12,$S$12,$R$12))</f>
        <v>■レベル　4</v>
      </c>
      <c r="E200" s="141" t="s">
        <v>973</v>
      </c>
      <c r="F200" s="2635"/>
      <c r="G200" s="141" t="s">
        <v>975</v>
      </c>
      <c r="H200" s="2635"/>
      <c r="I200" s="141" t="s">
        <v>180</v>
      </c>
      <c r="J200" s="2635"/>
      <c r="K200" s="141" t="s">
        <v>978</v>
      </c>
      <c r="L200" s="2635"/>
      <c r="M200" s="142"/>
      <c r="N200" s="2"/>
      <c r="O200" s="121"/>
      <c r="P200" s="491">
        <f>$Q$12</f>
        <v>4</v>
      </c>
      <c r="Q200" s="121"/>
      <c r="R200" s="29"/>
      <c r="S200" s="29"/>
      <c r="T200" s="29"/>
      <c r="U200" s="491">
        <f>$Q$12</f>
        <v>4</v>
      </c>
      <c r="V200" s="29"/>
      <c r="W200" s="29"/>
      <c r="X200" s="29"/>
      <c r="Y200" s="29"/>
    </row>
    <row r="201" spans="1:25" ht="17.25" customHeight="1">
      <c r="A201" s="2"/>
      <c r="B201" s="137"/>
      <c r="C201" s="37"/>
      <c r="D201" s="26" t="str">
        <f>IF(D195=$Q$14,$R$13,IF(ROUNDDOWN(D195,0)=$Q$13,$S$13,$R$13))</f>
        <v>　レベル　5</v>
      </c>
      <c r="E201" s="143" t="s">
        <v>656</v>
      </c>
      <c r="F201" s="2643"/>
      <c r="G201" s="2451"/>
      <c r="H201" s="2643"/>
      <c r="I201" s="2451"/>
      <c r="J201" s="2643"/>
      <c r="K201" s="2451"/>
      <c r="L201" s="2643"/>
      <c r="M201" s="144"/>
      <c r="N201" s="2"/>
      <c r="O201" s="121"/>
      <c r="P201" s="491" t="s">
        <v>68</v>
      </c>
      <c r="Q201" s="121"/>
      <c r="R201" s="29"/>
      <c r="S201" s="29"/>
      <c r="T201" s="29"/>
      <c r="U201" s="491">
        <f>$Q$13</f>
        <v>5</v>
      </c>
      <c r="V201" s="29"/>
      <c r="W201" s="29"/>
      <c r="X201" s="29"/>
      <c r="Y201" s="29"/>
    </row>
    <row r="202" spans="1:25" ht="19.2" hidden="1" customHeight="1">
      <c r="A202" s="23"/>
      <c r="B202" s="23"/>
      <c r="C202" s="23"/>
      <c r="D202" s="23"/>
      <c r="E202" s="874" t="s">
        <v>376</v>
      </c>
      <c r="F202" s="19"/>
      <c r="G202" s="19"/>
      <c r="H202" s="19"/>
      <c r="I202" s="19"/>
      <c r="J202" s="19"/>
      <c r="K202" s="19"/>
      <c r="L202" s="19"/>
      <c r="M202" s="19"/>
      <c r="N202" s="2"/>
      <c r="O202" s="121"/>
      <c r="P202" s="491" t="s">
        <v>68</v>
      </c>
      <c r="Q202" s="284" t="s">
        <v>87</v>
      </c>
      <c r="R202" s="29"/>
      <c r="S202" s="29"/>
      <c r="T202" s="29"/>
      <c r="U202" s="491" t="str">
        <f>$Q$14</f>
        <v>対象外</v>
      </c>
      <c r="V202" s="29"/>
      <c r="W202" s="29"/>
      <c r="X202" s="29"/>
      <c r="Y202" s="29"/>
    </row>
    <row r="203" spans="1:25" ht="17.25" hidden="1" customHeight="1">
      <c r="A203" s="2"/>
      <c r="B203" s="137"/>
      <c r="C203" s="37"/>
      <c r="D203" s="25" t="str">
        <f>IF(D202=$Q$14,$R$9,IF(ROUNDDOWN(D202,0)=$Q$9,$S$9,$R$9))</f>
        <v>　レベル　1</v>
      </c>
      <c r="E203" s="139" t="s">
        <v>1974</v>
      </c>
      <c r="F203" s="39"/>
      <c r="G203" s="139" t="s">
        <v>1974</v>
      </c>
      <c r="H203" s="39"/>
      <c r="I203" s="139" t="s">
        <v>1974</v>
      </c>
      <c r="J203" s="39"/>
      <c r="K203" s="139" t="s">
        <v>1974</v>
      </c>
      <c r="L203" s="39"/>
      <c r="M203" s="140"/>
      <c r="N203" s="2"/>
      <c r="O203" s="2493" t="s">
        <v>2013</v>
      </c>
      <c r="P203" s="491" t="s">
        <v>55</v>
      </c>
      <c r="Q203" s="121"/>
      <c r="R203" s="29"/>
      <c r="S203" s="29"/>
      <c r="T203" s="29"/>
      <c r="U203" s="491">
        <f>$Q$9</f>
        <v>1</v>
      </c>
      <c r="V203" s="29"/>
      <c r="W203" s="29"/>
      <c r="X203" s="29"/>
      <c r="Y203" s="29"/>
    </row>
    <row r="204" spans="1:25" ht="17.25" hidden="1" customHeight="1">
      <c r="A204" s="2"/>
      <c r="B204" s="137"/>
      <c r="C204" s="37"/>
      <c r="D204" s="28" t="str">
        <f>IF(D202=$Q$14,$R$10,IF(ROUNDDOWN(D202,0)=$Q$10,$S$10,$R$10))</f>
        <v>　レベル　2</v>
      </c>
      <c r="E204" s="141" t="s">
        <v>1997</v>
      </c>
      <c r="F204" s="2635"/>
      <c r="G204" s="141" t="s">
        <v>1998</v>
      </c>
      <c r="H204" s="2635"/>
      <c r="I204" s="141" t="s">
        <v>1999</v>
      </c>
      <c r="J204" s="2635"/>
      <c r="K204" s="141" t="s">
        <v>2000</v>
      </c>
      <c r="L204" s="2635"/>
      <c r="M204" s="142"/>
      <c r="N204" s="2"/>
      <c r="O204" s="121"/>
      <c r="P204" s="491">
        <f>$Q$10</f>
        <v>2</v>
      </c>
      <c r="Q204" s="121"/>
      <c r="R204" s="29"/>
      <c r="S204" s="29"/>
      <c r="T204" s="29"/>
      <c r="U204" s="491">
        <f>$Q$10</f>
        <v>2</v>
      </c>
      <c r="V204" s="29"/>
      <c r="W204" s="29"/>
      <c r="X204" s="29"/>
      <c r="Y204" s="29"/>
    </row>
    <row r="205" spans="1:25" ht="17.25" hidden="1" customHeight="1">
      <c r="A205" s="2"/>
      <c r="B205" s="137"/>
      <c r="C205" s="37"/>
      <c r="D205" s="28" t="str">
        <f>IF(D202=$Q$14,$R$11,IF(ROUNDDOWN(D202,0)=$Q$11,$S$11,$R$11))</f>
        <v>　レベル　3</v>
      </c>
      <c r="E205" s="141" t="s">
        <v>2001</v>
      </c>
      <c r="F205" s="2635"/>
      <c r="G205" s="141" t="s">
        <v>2002</v>
      </c>
      <c r="H205" s="2635"/>
      <c r="I205" s="141" t="s">
        <v>2003</v>
      </c>
      <c r="J205" s="2635"/>
      <c r="K205" s="141" t="s">
        <v>2004</v>
      </c>
      <c r="L205" s="2635"/>
      <c r="M205" s="142"/>
      <c r="N205" s="2"/>
      <c r="O205" s="121"/>
      <c r="P205" s="491">
        <f>$Q$11</f>
        <v>3</v>
      </c>
      <c r="Q205" s="121"/>
      <c r="R205" s="29"/>
      <c r="S205" s="29"/>
      <c r="T205" s="29"/>
      <c r="U205" s="491">
        <f>$Q$11</f>
        <v>3</v>
      </c>
      <c r="V205" s="29"/>
      <c r="W205" s="29"/>
      <c r="X205" s="29"/>
      <c r="Y205" s="29"/>
    </row>
    <row r="206" spans="1:25" ht="17.25" hidden="1" customHeight="1">
      <c r="A206" s="2"/>
      <c r="B206" s="137"/>
      <c r="C206" s="37"/>
      <c r="D206" s="28" t="str">
        <f>IF(D202=$Q$14,$R$12,IF(ROUNDDOWN(D202,0)=$Q$12,$S$12,$R$12))</f>
        <v>　レベル　4</v>
      </c>
      <c r="E206" s="141" t="s">
        <v>2005</v>
      </c>
      <c r="F206" s="2635"/>
      <c r="G206" s="141" t="s">
        <v>2006</v>
      </c>
      <c r="H206" s="2635"/>
      <c r="I206" s="141" t="s">
        <v>2007</v>
      </c>
      <c r="J206" s="2635"/>
      <c r="K206" s="141" t="s">
        <v>2008</v>
      </c>
      <c r="L206" s="2635"/>
      <c r="M206" s="142"/>
      <c r="N206" s="2"/>
      <c r="O206" s="121"/>
      <c r="P206" s="491">
        <f>$Q$12</f>
        <v>4</v>
      </c>
      <c r="Q206" s="121"/>
      <c r="R206" s="29"/>
      <c r="S206" s="29"/>
      <c r="T206" s="29"/>
      <c r="U206" s="491">
        <f>$Q$12</f>
        <v>4</v>
      </c>
      <c r="V206" s="29"/>
      <c r="W206" s="29"/>
      <c r="X206" s="29"/>
      <c r="Y206" s="29"/>
    </row>
    <row r="207" spans="1:25" ht="17.25" hidden="1" customHeight="1">
      <c r="A207" s="2"/>
      <c r="B207" s="137"/>
      <c r="C207" s="37"/>
      <c r="D207" s="26" t="str">
        <f>IF(D202=$Q$14,$R$13,IF(ROUNDDOWN(D202,0)=$Q$13,$S$13,$R$13))</f>
        <v>　レベル　5</v>
      </c>
      <c r="E207" s="143" t="s">
        <v>656</v>
      </c>
      <c r="F207" s="2643"/>
      <c r="G207" s="2451"/>
      <c r="H207" s="2643"/>
      <c r="I207" s="2451"/>
      <c r="J207" s="2643"/>
      <c r="K207" s="2451"/>
      <c r="L207" s="2643"/>
      <c r="M207" s="144"/>
      <c r="N207" s="2"/>
      <c r="O207" s="121"/>
      <c r="P207" s="491" t="s">
        <v>55</v>
      </c>
      <c r="Q207" s="121"/>
      <c r="R207" s="29"/>
      <c r="S207" s="29"/>
      <c r="T207" s="29"/>
      <c r="U207" s="491">
        <f>$Q$13</f>
        <v>5</v>
      </c>
      <c r="V207" s="29"/>
      <c r="W207" s="29"/>
      <c r="X207" s="29"/>
      <c r="Y207" s="29"/>
    </row>
    <row r="208" spans="1:25" ht="19.2" customHeight="1" thickBot="1">
      <c r="A208" s="23"/>
      <c r="B208" s="23"/>
      <c r="C208" s="23"/>
      <c r="D208" s="23"/>
      <c r="E208" s="874" t="s">
        <v>376</v>
      </c>
      <c r="F208" s="19"/>
      <c r="G208" s="19"/>
      <c r="H208" s="19"/>
      <c r="I208" s="19"/>
      <c r="J208" s="19"/>
      <c r="K208" s="19"/>
      <c r="L208" s="19"/>
      <c r="M208" s="19"/>
      <c r="N208" s="2"/>
      <c r="O208" s="121"/>
      <c r="P208" s="491" t="s">
        <v>55</v>
      </c>
      <c r="Q208" s="284" t="s">
        <v>87</v>
      </c>
      <c r="R208" s="29"/>
      <c r="S208" s="29"/>
      <c r="T208" s="29"/>
      <c r="U208" s="491" t="str">
        <f>$Q$14</f>
        <v>対象外</v>
      </c>
      <c r="V208" s="29"/>
      <c r="W208" s="29"/>
      <c r="X208" s="29"/>
      <c r="Y208" s="29"/>
    </row>
    <row r="209" spans="1:25" ht="19.2" customHeight="1">
      <c r="A209" s="23"/>
      <c r="B209" s="23"/>
      <c r="C209" s="23"/>
      <c r="D209" s="23"/>
      <c r="E209" s="330" t="s">
        <v>687</v>
      </c>
      <c r="F209" s="429">
        <v>1</v>
      </c>
      <c r="G209" s="457" t="s">
        <v>405</v>
      </c>
      <c r="H209" s="458"/>
      <c r="I209" s="458"/>
      <c r="J209" s="458"/>
      <c r="K209" s="458"/>
      <c r="L209" s="458"/>
      <c r="M209" s="446"/>
      <c r="N209" s="2"/>
      <c r="O209" s="2493" t="s">
        <v>2012</v>
      </c>
      <c r="P209" s="511"/>
      <c r="Q209" s="284"/>
      <c r="R209" s="29"/>
      <c r="S209" s="29"/>
      <c r="T209" s="29"/>
      <c r="U209" s="511"/>
      <c r="V209" s="29"/>
      <c r="W209" s="29"/>
      <c r="X209" s="29"/>
      <c r="Y209" s="29"/>
    </row>
    <row r="210" spans="1:25" ht="19.2" customHeight="1" thickBot="1">
      <c r="A210" s="23"/>
      <c r="B210" s="23"/>
      <c r="C210" s="23"/>
      <c r="D210" s="23"/>
      <c r="E210" s="479" t="s">
        <v>687</v>
      </c>
      <c r="F210" s="650">
        <v>2</v>
      </c>
      <c r="G210" s="473" t="s">
        <v>406</v>
      </c>
      <c r="H210" s="459"/>
      <c r="I210" s="459"/>
      <c r="J210" s="459"/>
      <c r="K210" s="459"/>
      <c r="L210" s="459"/>
      <c r="M210" s="648"/>
      <c r="N210" s="2"/>
      <c r="O210" s="121"/>
      <c r="P210" s="511"/>
      <c r="Q210" s="284"/>
      <c r="R210" s="29"/>
      <c r="S210" s="29"/>
      <c r="T210" s="29"/>
      <c r="U210" s="511"/>
      <c r="V210" s="29"/>
      <c r="W210" s="29"/>
      <c r="X210" s="29"/>
      <c r="Y210" s="29"/>
    </row>
    <row r="211" spans="1:25" ht="19.2" hidden="1" customHeight="1">
      <c r="A211" s="23"/>
      <c r="B211" s="23"/>
      <c r="C211" s="23"/>
      <c r="D211" s="23"/>
      <c r="E211" s="330"/>
      <c r="F211" s="429">
        <v>1</v>
      </c>
      <c r="G211" s="457" t="s">
        <v>2009</v>
      </c>
      <c r="H211" s="458"/>
      <c r="I211" s="458"/>
      <c r="J211" s="458"/>
      <c r="K211" s="458"/>
      <c r="L211" s="458"/>
      <c r="M211" s="446"/>
      <c r="N211" s="2"/>
      <c r="O211" s="2493" t="s">
        <v>2013</v>
      </c>
      <c r="P211" s="511"/>
      <c r="Q211" s="121"/>
      <c r="R211" s="29"/>
      <c r="S211" s="29"/>
      <c r="T211" s="29"/>
      <c r="U211" s="511"/>
      <c r="V211" s="29"/>
      <c r="W211" s="29"/>
      <c r="X211" s="29"/>
      <c r="Y211" s="29"/>
    </row>
    <row r="212" spans="1:25" ht="19.5" hidden="1" customHeight="1" thickBot="1">
      <c r="A212" s="23"/>
      <c r="B212" s="23"/>
      <c r="C212" s="23"/>
      <c r="D212" s="23"/>
      <c r="E212" s="479"/>
      <c r="F212" s="650">
        <v>2</v>
      </c>
      <c r="G212" s="473" t="s">
        <v>2010</v>
      </c>
      <c r="H212" s="459"/>
      <c r="I212" s="459"/>
      <c r="J212" s="459"/>
      <c r="K212" s="459"/>
      <c r="L212" s="459"/>
      <c r="M212" s="648"/>
      <c r="N212" s="2"/>
      <c r="O212" s="121"/>
      <c r="P212" s="511"/>
      <c r="Q212" s="121"/>
      <c r="R212" s="29"/>
      <c r="S212" s="29"/>
      <c r="T212" s="29"/>
      <c r="U212" s="511"/>
      <c r="V212" s="29"/>
      <c r="W212" s="29"/>
      <c r="X212" s="29"/>
      <c r="Y212" s="29"/>
    </row>
    <row r="213" spans="1:25" ht="16.5" customHeight="1">
      <c r="A213" s="23"/>
      <c r="B213" s="23"/>
      <c r="C213" s="23"/>
      <c r="D213" s="23"/>
      <c r="E213" s="661"/>
      <c r="F213" s="444"/>
      <c r="G213" s="444"/>
      <c r="H213" s="444"/>
      <c r="I213" s="444"/>
      <c r="J213" s="444"/>
      <c r="K213" s="444" t="s">
        <v>400</v>
      </c>
      <c r="L213" s="873">
        <f>IF(COUNTIF(E209:E212,U3)&gt;1,1,0)</f>
        <v>1</v>
      </c>
      <c r="M213" s="443" t="s">
        <v>401</v>
      </c>
      <c r="N213" s="2"/>
      <c r="O213" s="121"/>
      <c r="P213" s="511"/>
      <c r="Q213" s="121"/>
      <c r="R213" s="29"/>
      <c r="S213" s="29"/>
      <c r="T213" s="29"/>
      <c r="U213" s="511"/>
      <c r="V213" s="29"/>
      <c r="W213" s="29"/>
      <c r="X213" s="29"/>
      <c r="Y213" s="29"/>
    </row>
    <row r="214" spans="1:25" s="29" customFormat="1" ht="8.25" customHeight="1">
      <c r="A214" s="19"/>
      <c r="B214" s="137"/>
      <c r="C214" s="504"/>
      <c r="D214" s="270"/>
      <c r="E214" s="270"/>
      <c r="F214" s="2"/>
      <c r="G214" s="2"/>
      <c r="H214" s="2"/>
      <c r="I214" s="2"/>
      <c r="J214" s="2"/>
      <c r="K214" s="2"/>
      <c r="L214" s="2"/>
      <c r="M214" s="2"/>
      <c r="N214" s="22"/>
      <c r="P214" s="511"/>
      <c r="R214" s="4"/>
      <c r="S214" s="4"/>
      <c r="T214" s="113"/>
    </row>
    <row r="215" spans="1:25" s="29" customFormat="1" ht="21" customHeight="1">
      <c r="A215" s="19"/>
      <c r="B215" s="137"/>
      <c r="C215" s="504"/>
      <c r="E215" s="646" t="s">
        <v>3</v>
      </c>
      <c r="F215" s="647"/>
      <c r="G215" s="2441"/>
      <c r="H215" s="2442"/>
      <c r="I215" s="990"/>
      <c r="J215" s="990"/>
      <c r="K215" s="990"/>
      <c r="L215" s="990"/>
      <c r="M215" s="991"/>
      <c r="N215" s="22"/>
      <c r="P215" s="511"/>
      <c r="Q215" s="284"/>
      <c r="R215" s="4"/>
      <c r="S215" s="4"/>
      <c r="T215" s="113"/>
      <c r="U215" s="511"/>
      <c r="V215" s="113"/>
      <c r="W215" s="113"/>
      <c r="X215" s="113"/>
      <c r="Y215" s="113"/>
    </row>
    <row r="216" spans="1:25" s="29" customFormat="1" ht="21" hidden="1" customHeight="1">
      <c r="A216" s="19"/>
      <c r="B216" s="137"/>
      <c r="C216" s="504"/>
      <c r="E216" s="646" t="s">
        <v>3</v>
      </c>
      <c r="F216" s="647"/>
      <c r="G216" s="2441"/>
      <c r="H216" s="2442"/>
      <c r="I216" s="990"/>
      <c r="J216" s="990"/>
      <c r="K216" s="990"/>
      <c r="L216" s="990"/>
      <c r="M216" s="991"/>
      <c r="N216" s="22"/>
      <c r="P216" s="511"/>
      <c r="Q216" s="284"/>
      <c r="R216" s="4"/>
      <c r="S216" s="4"/>
      <c r="T216" s="113"/>
      <c r="U216" s="511"/>
      <c r="V216" s="113"/>
      <c r="W216" s="113"/>
      <c r="X216" s="113"/>
      <c r="Y216" s="113"/>
    </row>
    <row r="217" spans="1:25" ht="14.4">
      <c r="A217" s="23"/>
      <c r="B217" s="23"/>
      <c r="C217" s="23"/>
      <c r="D217" s="23"/>
      <c r="E217" s="19"/>
      <c r="F217" s="19"/>
      <c r="G217" s="19"/>
      <c r="H217" s="19"/>
      <c r="I217" s="19"/>
      <c r="J217" s="19"/>
      <c r="K217" s="19"/>
      <c r="L217" s="19"/>
      <c r="M217" s="19"/>
      <c r="N217" s="2"/>
      <c r="O217" s="121"/>
      <c r="P217" s="511"/>
      <c r="Q217" s="121"/>
      <c r="R217" s="29"/>
      <c r="S217" s="29"/>
      <c r="T217" s="29"/>
      <c r="U217" s="335"/>
      <c r="V217" s="29"/>
      <c r="W217" s="29"/>
      <c r="X217" s="29"/>
      <c r="Y217" s="29"/>
    </row>
    <row r="218" spans="1:25" s="285" customFormat="1" ht="14.25" customHeight="1" thickBot="1">
      <c r="A218" s="14"/>
      <c r="B218" s="513">
        <v>3.2</v>
      </c>
      <c r="C218" s="23" t="s">
        <v>524</v>
      </c>
      <c r="D218" s="23"/>
      <c r="E218" s="23"/>
      <c r="F218" s="23"/>
      <c r="G218" s="23"/>
      <c r="H218" s="23"/>
      <c r="I218" s="19"/>
      <c r="J218" s="19"/>
      <c r="K218" s="19"/>
      <c r="L218" s="19"/>
      <c r="M218" s="19"/>
      <c r="N218" s="14"/>
      <c r="O218" s="2493" t="s">
        <v>2012</v>
      </c>
    </row>
    <row r="219" spans="1:25" s="285" customFormat="1" ht="14.25" hidden="1" customHeight="1" thickBot="1">
      <c r="A219" s="14"/>
      <c r="B219" s="513"/>
      <c r="C219" s="23"/>
      <c r="D219" s="2649" t="s">
        <v>2017</v>
      </c>
      <c r="E219" s="23"/>
      <c r="F219" s="23"/>
      <c r="G219" s="23"/>
      <c r="H219" s="23"/>
      <c r="I219" s="19"/>
      <c r="J219" s="19"/>
      <c r="K219" s="19"/>
      <c r="L219" s="19"/>
      <c r="M219" s="19"/>
      <c r="N219" s="14"/>
      <c r="O219" s="2493" t="s">
        <v>2013</v>
      </c>
    </row>
    <row r="220" spans="1:25" ht="16.5" customHeight="1" thickBot="1">
      <c r="A220" s="2"/>
      <c r="B220" s="137"/>
      <c r="C220" s="21"/>
      <c r="D220" s="866">
        <f>IF(D221+L234&lt;=5,D221+L234,5)</f>
        <v>4</v>
      </c>
      <c r="E220" s="361"/>
      <c r="F220" s="125"/>
      <c r="I220" s="19"/>
      <c r="J220" s="19"/>
      <c r="K220" s="19"/>
      <c r="L220" s="148" t="s">
        <v>2</v>
      </c>
      <c r="M220" s="2575">
        <f>重み!M55</f>
        <v>1</v>
      </c>
      <c r="N220" s="5"/>
      <c r="O220" s="29">
        <f t="shared" ref="O220:Y220" si="7">C220</f>
        <v>0</v>
      </c>
      <c r="P220" s="29">
        <f t="shared" si="7"/>
        <v>4</v>
      </c>
      <c r="Q220" s="29">
        <f t="shared" si="7"/>
        <v>0</v>
      </c>
      <c r="R220" s="29">
        <f t="shared" si="7"/>
        <v>0</v>
      </c>
      <c r="S220" s="29">
        <f t="shared" si="7"/>
        <v>0</v>
      </c>
      <c r="T220" s="29">
        <f t="shared" si="7"/>
        <v>0</v>
      </c>
      <c r="U220" s="29">
        <f t="shared" si="7"/>
        <v>0</v>
      </c>
      <c r="V220" s="29">
        <f t="shared" si="7"/>
        <v>0</v>
      </c>
      <c r="W220" s="29">
        <f t="shared" si="7"/>
        <v>0</v>
      </c>
      <c r="X220" s="29" t="str">
        <f t="shared" si="7"/>
        <v>重み係数＝</v>
      </c>
      <c r="Y220" s="29">
        <f t="shared" si="7"/>
        <v>1</v>
      </c>
    </row>
    <row r="221" spans="1:25" ht="16.5" customHeight="1" thickBot="1">
      <c r="A221" s="2"/>
      <c r="B221" s="137"/>
      <c r="C221" s="21"/>
      <c r="D221" s="864">
        <v>3</v>
      </c>
      <c r="E221" s="2934" t="s">
        <v>415</v>
      </c>
      <c r="F221" s="2935"/>
      <c r="G221" s="2935"/>
      <c r="H221" s="2935"/>
      <c r="I221" s="2935"/>
      <c r="J221" s="2935"/>
      <c r="K221" s="2935"/>
      <c r="L221" s="2935"/>
      <c r="M221" s="2936"/>
      <c r="N221" s="2"/>
      <c r="O221" s="121"/>
      <c r="P221" s="29"/>
      <c r="Q221" s="121"/>
      <c r="R221" s="29"/>
      <c r="S221" s="29"/>
      <c r="T221" s="29"/>
      <c r="U221" s="29"/>
      <c r="V221" s="29"/>
      <c r="W221" s="29"/>
      <c r="X221" s="29"/>
      <c r="Y221" s="29"/>
    </row>
    <row r="222" spans="1:25" ht="16.5" customHeight="1">
      <c r="A222" s="2"/>
      <c r="B222" s="137"/>
      <c r="C222" s="21"/>
      <c r="D222" s="25" t="str">
        <f>IF(D221=$Q$14,$R$9,IF(ROUNDDOWN(D221,0)=$Q$9,$S$9,$R$9))</f>
        <v>　レベル　1</v>
      </c>
      <c r="E222" s="438" t="s">
        <v>409</v>
      </c>
      <c r="F222" s="487"/>
      <c r="G222" s="487"/>
      <c r="H222" s="487"/>
      <c r="I222" s="487"/>
      <c r="J222" s="487"/>
      <c r="K222" s="487"/>
      <c r="L222" s="487"/>
      <c r="M222" s="488"/>
      <c r="N222" s="2"/>
      <c r="O222" s="121"/>
      <c r="P222" s="491" t="s">
        <v>55</v>
      </c>
      <c r="Q222" s="121"/>
      <c r="R222" s="29"/>
      <c r="S222" s="29"/>
      <c r="T222" s="29"/>
      <c r="U222" s="491">
        <f>$Q$9</f>
        <v>1</v>
      </c>
      <c r="V222" s="29"/>
      <c r="W222" s="29"/>
      <c r="X222" s="29"/>
      <c r="Y222" s="29"/>
    </row>
    <row r="223" spans="1:25" ht="16.5" customHeight="1">
      <c r="A223" s="2"/>
      <c r="B223" s="137"/>
      <c r="C223" s="21"/>
      <c r="D223" s="28" t="str">
        <f>IF(D221=$Q$14,$R$10,IF(ROUNDDOWN(D221,0)=$Q$10,$S$10,$R$10))</f>
        <v>　レベル　2</v>
      </c>
      <c r="E223" s="439" t="s">
        <v>577</v>
      </c>
      <c r="F223" s="489"/>
      <c r="G223" s="489"/>
      <c r="H223" s="489"/>
      <c r="I223" s="489"/>
      <c r="J223" s="489"/>
      <c r="K223" s="489"/>
      <c r="L223" s="489"/>
      <c r="M223" s="490"/>
      <c r="N223" s="2"/>
      <c r="O223" s="121"/>
      <c r="P223" s="491">
        <f>$Q$10</f>
        <v>2</v>
      </c>
      <c r="Q223" s="121"/>
      <c r="R223" s="29"/>
      <c r="S223" s="29"/>
      <c r="T223" s="29"/>
      <c r="U223" s="491">
        <f>$Q$10</f>
        <v>2</v>
      </c>
      <c r="V223" s="29"/>
      <c r="W223" s="29"/>
      <c r="X223" s="29"/>
      <c r="Y223" s="29"/>
    </row>
    <row r="224" spans="1:25" ht="16.5" customHeight="1">
      <c r="A224" s="2"/>
      <c r="B224" s="137"/>
      <c r="C224" s="21"/>
      <c r="D224" s="28" t="str">
        <f>IF(D221=$Q$14,$R$11,IF(ROUNDDOWN(D221,0)=$Q$11,$S$11,$R$11))</f>
        <v>■レベル　3</v>
      </c>
      <c r="E224" s="439" t="s">
        <v>578</v>
      </c>
      <c r="F224" s="489"/>
      <c r="G224" s="489"/>
      <c r="H224" s="489"/>
      <c r="I224" s="489"/>
      <c r="J224" s="489"/>
      <c r="K224" s="489"/>
      <c r="L224" s="489"/>
      <c r="M224" s="490"/>
      <c r="N224" s="2"/>
      <c r="O224" s="121"/>
      <c r="P224" s="491">
        <f>$Q$11</f>
        <v>3</v>
      </c>
      <c r="Q224" s="121"/>
      <c r="R224" s="29"/>
      <c r="S224" s="29"/>
      <c r="T224" s="29"/>
      <c r="U224" s="491">
        <f>$Q$11</f>
        <v>3</v>
      </c>
      <c r="V224" s="29"/>
      <c r="W224" s="29"/>
      <c r="X224" s="29"/>
      <c r="Y224" s="29"/>
    </row>
    <row r="225" spans="1:25" ht="16.5" customHeight="1">
      <c r="A225" s="2"/>
      <c r="B225" s="137"/>
      <c r="C225" s="21"/>
      <c r="D225" s="28" t="str">
        <f>IF(D221=$Q$14,$R$12,IF(ROUNDDOWN(D221,0)=$Q$12,$S$12,$R$12))</f>
        <v>　レベル　4</v>
      </c>
      <c r="E225" s="451" t="s">
        <v>579</v>
      </c>
      <c r="F225" s="2630"/>
      <c r="G225" s="2630"/>
      <c r="H225" s="2630"/>
      <c r="I225" s="2630"/>
      <c r="J225" s="2630"/>
      <c r="K225" s="2630"/>
      <c r="L225" s="2630"/>
      <c r="M225" s="2631"/>
      <c r="N225" s="2"/>
      <c r="O225" s="121"/>
      <c r="P225" s="491">
        <f>$Q$12</f>
        <v>4</v>
      </c>
      <c r="Q225" s="121"/>
      <c r="R225" s="29"/>
      <c r="S225" s="29"/>
      <c r="T225" s="29"/>
      <c r="U225" s="491">
        <f>$Q$12</f>
        <v>4</v>
      </c>
      <c r="V225" s="29"/>
      <c r="W225" s="29"/>
      <c r="X225" s="29"/>
      <c r="Y225" s="29"/>
    </row>
    <row r="226" spans="1:25" ht="16.5" customHeight="1">
      <c r="A226" s="2"/>
      <c r="B226" s="137"/>
      <c r="C226" s="21"/>
      <c r="D226" s="26" t="str">
        <f>IF(D221=$Q$14,$R$13,IF(ROUNDDOWN(D221,0)=$Q$13,$S$13,$R$13))</f>
        <v>　レベル　5</v>
      </c>
      <c r="E226" s="473" t="s">
        <v>580</v>
      </c>
      <c r="F226" s="2632"/>
      <c r="G226" s="2632"/>
      <c r="H226" s="2632"/>
      <c r="I226" s="2632"/>
      <c r="J226" s="2632"/>
      <c r="K226" s="2632"/>
      <c r="L226" s="2632"/>
      <c r="M226" s="2633"/>
      <c r="N226" s="2"/>
      <c r="O226" s="121"/>
      <c r="P226" s="491">
        <f>$Q$13</f>
        <v>5</v>
      </c>
      <c r="Q226" s="121"/>
      <c r="R226" s="29"/>
      <c r="S226" s="29"/>
      <c r="T226" s="29"/>
      <c r="U226" s="491">
        <f>$Q$13</f>
        <v>5</v>
      </c>
      <c r="V226" s="29"/>
      <c r="W226" s="29"/>
      <c r="X226" s="29"/>
      <c r="Y226" s="29"/>
    </row>
    <row r="227" spans="1:25" ht="16.2" thickBot="1">
      <c r="A227" s="2"/>
      <c r="B227" s="137"/>
      <c r="C227" s="19"/>
      <c r="D227" s="19"/>
      <c r="E227" s="874" t="s">
        <v>376</v>
      </c>
      <c r="F227" s="2520"/>
      <c r="G227" s="2520"/>
      <c r="H227" s="2520"/>
      <c r="I227" s="2520"/>
      <c r="J227" s="2520"/>
      <c r="K227" s="2520"/>
      <c r="L227" s="2520"/>
      <c r="M227" s="2520"/>
      <c r="N227" s="2"/>
      <c r="O227" s="121"/>
      <c r="P227" s="491" t="s">
        <v>55</v>
      </c>
      <c r="Q227" s="284" t="s">
        <v>87</v>
      </c>
      <c r="R227" s="29"/>
      <c r="S227" s="29"/>
      <c r="T227" s="29"/>
      <c r="U227" s="491" t="str">
        <f>$Q$14</f>
        <v>対象外</v>
      </c>
      <c r="V227" s="29"/>
      <c r="W227" s="29"/>
      <c r="X227" s="29"/>
      <c r="Y227" s="29"/>
    </row>
    <row r="228" spans="1:25" ht="40.950000000000003" customHeight="1">
      <c r="A228" s="2"/>
      <c r="B228" s="137"/>
      <c r="C228" s="19"/>
      <c r="D228" s="19"/>
      <c r="E228" s="330"/>
      <c r="F228" s="445" t="s">
        <v>1668</v>
      </c>
      <c r="G228" s="2976" t="s">
        <v>1670</v>
      </c>
      <c r="H228" s="2976"/>
      <c r="I228" s="2976"/>
      <c r="J228" s="2976"/>
      <c r="K228" s="2976"/>
      <c r="L228" s="2976"/>
      <c r="M228" s="2976"/>
      <c r="N228" s="2"/>
      <c r="O228" s="2493" t="s">
        <v>2012</v>
      </c>
      <c r="Q228" s="121"/>
      <c r="R228" s="29"/>
      <c r="S228" s="29"/>
      <c r="T228" s="29"/>
      <c r="U228" s="511"/>
      <c r="V228" s="29"/>
      <c r="W228" s="29"/>
      <c r="X228" s="29"/>
      <c r="Y228" s="29"/>
    </row>
    <row r="229" spans="1:25" ht="79.95" customHeight="1" thickBot="1">
      <c r="A229" s="2"/>
      <c r="B229" s="137"/>
      <c r="C229" s="19"/>
      <c r="D229" s="19"/>
      <c r="E229" s="671" t="s">
        <v>687</v>
      </c>
      <c r="F229" s="2650" t="s">
        <v>1669</v>
      </c>
      <c r="G229" s="2977" t="s">
        <v>1671</v>
      </c>
      <c r="H229" s="2978"/>
      <c r="I229" s="2978"/>
      <c r="J229" s="2978"/>
      <c r="K229" s="2978"/>
      <c r="L229" s="2978"/>
      <c r="M229" s="2978"/>
      <c r="N229" s="2"/>
      <c r="O229" s="2493" t="s">
        <v>2012</v>
      </c>
      <c r="P229" s="511"/>
      <c r="Q229" s="121"/>
      <c r="R229" s="29"/>
      <c r="S229" s="29"/>
      <c r="T229" s="29"/>
      <c r="U229" s="511"/>
      <c r="V229" s="29"/>
      <c r="W229" s="29"/>
      <c r="X229" s="29"/>
      <c r="Y229" s="29"/>
    </row>
    <row r="230" spans="1:25" hidden="1">
      <c r="A230" s="2"/>
      <c r="B230" s="137"/>
      <c r="C230" s="19"/>
      <c r="D230" s="19"/>
      <c r="E230" s="330"/>
      <c r="F230" s="652">
        <v>1</v>
      </c>
      <c r="G230" s="452" t="s">
        <v>2011</v>
      </c>
      <c r="H230" s="453"/>
      <c r="I230" s="453"/>
      <c r="J230" s="453"/>
      <c r="K230" s="453"/>
      <c r="L230" s="453"/>
      <c r="M230" s="455"/>
      <c r="N230" s="2"/>
      <c r="O230" s="2493" t="s">
        <v>2013</v>
      </c>
      <c r="P230" s="511"/>
      <c r="Q230" s="121"/>
      <c r="R230" s="29"/>
      <c r="S230" s="29"/>
      <c r="T230" s="29"/>
      <c r="U230" s="511"/>
      <c r="V230" s="29"/>
      <c r="W230" s="29"/>
      <c r="X230" s="29"/>
      <c r="Y230" s="29"/>
    </row>
    <row r="231" spans="1:25" hidden="1">
      <c r="A231" s="2"/>
      <c r="B231" s="137"/>
      <c r="C231" s="19"/>
      <c r="D231" s="19"/>
      <c r="E231" s="449"/>
      <c r="F231" s="464">
        <v>2</v>
      </c>
      <c r="G231" s="452" t="s">
        <v>2014</v>
      </c>
      <c r="H231" s="453"/>
      <c r="I231" s="453"/>
      <c r="J231" s="453"/>
      <c r="K231" s="453"/>
      <c r="L231" s="453"/>
      <c r="M231" s="455"/>
      <c r="N231" s="2"/>
      <c r="O231" s="2493" t="s">
        <v>2013</v>
      </c>
      <c r="P231" s="511"/>
      <c r="Q231" s="121"/>
      <c r="R231" s="29"/>
      <c r="S231" s="29"/>
      <c r="T231" s="29"/>
      <c r="U231" s="511"/>
      <c r="V231" s="29"/>
      <c r="W231" s="29"/>
      <c r="X231" s="29"/>
      <c r="Y231" s="29"/>
    </row>
    <row r="232" spans="1:25" hidden="1">
      <c r="A232" s="2"/>
      <c r="B232" s="137"/>
      <c r="C232" s="19"/>
      <c r="D232" s="19"/>
      <c r="E232" s="449"/>
      <c r="F232" s="464">
        <v>3</v>
      </c>
      <c r="G232" s="452" t="s">
        <v>2015</v>
      </c>
      <c r="H232" s="453"/>
      <c r="I232" s="453"/>
      <c r="J232" s="453"/>
      <c r="K232" s="453"/>
      <c r="L232" s="453"/>
      <c r="M232" s="455"/>
      <c r="N232" s="2"/>
      <c r="O232" s="2493" t="s">
        <v>2013</v>
      </c>
      <c r="P232" s="511"/>
      <c r="Q232" s="121"/>
      <c r="R232" s="29"/>
      <c r="S232" s="29"/>
      <c r="T232" s="29"/>
      <c r="U232" s="511"/>
      <c r="V232" s="29"/>
      <c r="W232" s="29"/>
      <c r="X232" s="29"/>
      <c r="Y232" s="29"/>
    </row>
    <row r="233" spans="1:25" ht="16.2" hidden="1" thickBot="1">
      <c r="A233" s="2"/>
      <c r="B233" s="137"/>
      <c r="C233" s="19"/>
      <c r="D233" s="19"/>
      <c r="E233" s="331"/>
      <c r="F233" s="650">
        <v>4</v>
      </c>
      <c r="G233" s="473" t="s">
        <v>2016</v>
      </c>
      <c r="H233" s="459"/>
      <c r="I233" s="459"/>
      <c r="J233" s="459"/>
      <c r="K233" s="459"/>
      <c r="L233" s="459"/>
      <c r="M233" s="648"/>
      <c r="N233" s="2"/>
      <c r="O233" s="2493" t="s">
        <v>2013</v>
      </c>
      <c r="P233" s="511"/>
      <c r="Q233" s="121"/>
      <c r="R233" s="29"/>
      <c r="S233" s="29"/>
      <c r="T233" s="29"/>
      <c r="U233" s="511"/>
      <c r="V233" s="29"/>
      <c r="W233" s="29"/>
      <c r="X233" s="29"/>
      <c r="Y233" s="29"/>
    </row>
    <row r="234" spans="1:25" ht="17.25" customHeight="1">
      <c r="A234" s="2"/>
      <c r="B234" s="137"/>
      <c r="C234" s="19"/>
      <c r="D234" s="19"/>
      <c r="E234" s="661"/>
      <c r="F234" s="444"/>
      <c r="G234" s="444"/>
      <c r="H234" s="444"/>
      <c r="I234" s="444"/>
      <c r="J234" s="444"/>
      <c r="K234" s="444" t="s">
        <v>400</v>
      </c>
      <c r="L234" s="2603">
        <f>IF(COUNTIF(E228:E233,$U$3)&gt;1,2,IF(COUNTIF(E228:E233,$U$3)&gt;0,1,0))</f>
        <v>1</v>
      </c>
      <c r="M234" s="443" t="s">
        <v>401</v>
      </c>
      <c r="N234" s="2"/>
      <c r="O234" s="121"/>
      <c r="P234" s="511"/>
      <c r="Q234" s="121"/>
      <c r="R234" s="29"/>
      <c r="S234" s="29"/>
      <c r="T234" s="29"/>
      <c r="U234" s="511"/>
      <c r="V234" s="29"/>
      <c r="W234" s="29"/>
      <c r="X234" s="29"/>
      <c r="Y234" s="29"/>
    </row>
    <row r="235" spans="1:25" s="29" customFormat="1" ht="8.25" customHeight="1">
      <c r="A235" s="19"/>
      <c r="B235" s="137"/>
      <c r="C235" s="504"/>
      <c r="D235" s="270"/>
      <c r="E235" s="270"/>
      <c r="F235" s="2"/>
      <c r="G235" s="2"/>
      <c r="H235" s="2"/>
      <c r="I235" s="2"/>
      <c r="J235" s="2"/>
      <c r="K235" s="2"/>
      <c r="L235" s="2"/>
      <c r="M235" s="2"/>
      <c r="N235" s="22"/>
      <c r="P235" s="511"/>
      <c r="R235" s="4"/>
      <c r="S235" s="4"/>
      <c r="T235" s="113"/>
    </row>
    <row r="236" spans="1:25" s="29" customFormat="1" ht="21" customHeight="1">
      <c r="A236" s="19"/>
      <c r="B236" s="137"/>
      <c r="C236" s="504"/>
      <c r="E236" s="646" t="s">
        <v>3</v>
      </c>
      <c r="F236" s="647"/>
      <c r="G236" s="2441"/>
      <c r="H236" s="2442"/>
      <c r="I236" s="990"/>
      <c r="J236" s="990"/>
      <c r="K236" s="990"/>
      <c r="L236" s="990"/>
      <c r="M236" s="991"/>
      <c r="N236" s="22"/>
      <c r="P236" s="511"/>
      <c r="Q236" s="284"/>
      <c r="R236" s="4"/>
      <c r="S236" s="4"/>
      <c r="T236" s="113"/>
      <c r="U236" s="511"/>
      <c r="V236" s="113"/>
      <c r="W236" s="113"/>
      <c r="X236" s="113"/>
      <c r="Y236" s="113"/>
    </row>
    <row r="237" spans="1:25" s="29" customFormat="1" ht="21" hidden="1" customHeight="1">
      <c r="A237" s="19"/>
      <c r="B237" s="137"/>
      <c r="C237" s="504"/>
      <c r="E237" s="646" t="s">
        <v>3</v>
      </c>
      <c r="F237" s="647"/>
      <c r="G237" s="2441"/>
      <c r="H237" s="2442"/>
      <c r="I237" s="990"/>
      <c r="J237" s="990"/>
      <c r="K237" s="990"/>
      <c r="L237" s="990"/>
      <c r="M237" s="991"/>
      <c r="N237" s="22"/>
      <c r="P237" s="511"/>
      <c r="Q237" s="284"/>
      <c r="R237" s="4"/>
      <c r="S237" s="4"/>
      <c r="T237" s="113"/>
      <c r="U237" s="511"/>
      <c r="V237" s="113"/>
      <c r="W237" s="113"/>
      <c r="X237" s="113"/>
      <c r="Y237" s="113"/>
    </row>
    <row r="238" spans="1:25" ht="9.75" customHeight="1"/>
    <row r="239" spans="1:25" s="285" customFormat="1" ht="14.25" hidden="1" customHeight="1" thickBot="1">
      <c r="A239" s="14"/>
      <c r="B239" s="513"/>
      <c r="C239" s="23"/>
      <c r="D239" s="2649" t="s">
        <v>2022</v>
      </c>
      <c r="E239" s="23"/>
      <c r="F239" s="23"/>
      <c r="G239" s="23"/>
      <c r="H239" s="23"/>
      <c r="I239" s="19"/>
      <c r="J239" s="19"/>
      <c r="K239" s="19"/>
      <c r="L239" s="19"/>
      <c r="M239" s="19"/>
      <c r="N239" s="14"/>
    </row>
    <row r="240" spans="1:25" ht="16.5" hidden="1" customHeight="1" thickBot="1">
      <c r="A240" s="2"/>
      <c r="B240" s="137"/>
      <c r="C240" s="21"/>
      <c r="D240" s="866">
        <f>IF(D241+L251&lt;=5,D241+L251,5)</f>
        <v>3</v>
      </c>
      <c r="E240" s="361"/>
      <c r="F240" s="125"/>
      <c r="I240" s="19"/>
      <c r="J240" s="19"/>
      <c r="K240" s="19"/>
      <c r="L240" s="148" t="s">
        <v>2</v>
      </c>
      <c r="M240" s="38">
        <f>重み!M56</f>
        <v>0</v>
      </c>
      <c r="N240" s="5"/>
      <c r="O240" s="29">
        <f t="shared" ref="O240" si="8">C240</f>
        <v>0</v>
      </c>
      <c r="P240" s="29">
        <f t="shared" ref="P240" si="9">D240</f>
        <v>3</v>
      </c>
      <c r="Q240" s="29">
        <f t="shared" ref="Q240" si="10">E240</f>
        <v>0</v>
      </c>
      <c r="R240" s="29">
        <f t="shared" ref="R240" si="11">F240</f>
        <v>0</v>
      </c>
      <c r="S240" s="29">
        <f t="shared" ref="S240" si="12">G240</f>
        <v>0</v>
      </c>
      <c r="T240" s="29">
        <f t="shared" ref="T240" si="13">H240</f>
        <v>0</v>
      </c>
      <c r="U240" s="29">
        <f t="shared" ref="U240" si="14">I240</f>
        <v>0</v>
      </c>
      <c r="V240" s="29">
        <f t="shared" ref="V240" si="15">J240</f>
        <v>0</v>
      </c>
      <c r="W240" s="29">
        <f t="shared" ref="W240" si="16">K240</f>
        <v>0</v>
      </c>
      <c r="X240" s="29" t="str">
        <f t="shared" ref="X240" si="17">L240</f>
        <v>重み係数＝</v>
      </c>
      <c r="Y240" s="29">
        <f t="shared" ref="Y240" si="18">M240</f>
        <v>0</v>
      </c>
    </row>
    <row r="241" spans="1:40" ht="16.5" hidden="1" customHeight="1" thickBot="1">
      <c r="A241" s="2"/>
      <c r="B241" s="137"/>
      <c r="C241" s="21"/>
      <c r="D241" s="864">
        <v>3</v>
      </c>
      <c r="E241" s="2934" t="s">
        <v>415</v>
      </c>
      <c r="F241" s="2935"/>
      <c r="G241" s="2935"/>
      <c r="H241" s="2935"/>
      <c r="I241" s="2935"/>
      <c r="J241" s="2935"/>
      <c r="K241" s="2935"/>
      <c r="L241" s="2935"/>
      <c r="M241" s="2936"/>
      <c r="N241" s="2"/>
      <c r="O241" s="121"/>
      <c r="P241" s="29"/>
      <c r="Q241" s="121"/>
      <c r="R241" s="29"/>
      <c r="S241" s="29"/>
      <c r="T241" s="29"/>
      <c r="U241" s="29"/>
      <c r="V241" s="29"/>
      <c r="W241" s="29"/>
      <c r="X241" s="29"/>
      <c r="Y241" s="29"/>
    </row>
    <row r="242" spans="1:40" ht="16.5" hidden="1" customHeight="1">
      <c r="A242" s="2"/>
      <c r="B242" s="137"/>
      <c r="C242" s="21"/>
      <c r="D242" s="25" t="str">
        <f>IF(D241=$Q$14,$R$9,IF(ROUNDDOWN(D241,0)=$Q$9,$S$9,$R$9))</f>
        <v>　レベル　1</v>
      </c>
      <c r="E242" s="438" t="s">
        <v>1974</v>
      </c>
      <c r="F242" s="487"/>
      <c r="G242" s="487"/>
      <c r="H242" s="487"/>
      <c r="I242" s="487"/>
      <c r="J242" s="487"/>
      <c r="K242" s="487"/>
      <c r="L242" s="487"/>
      <c r="M242" s="488"/>
      <c r="N242" s="2"/>
      <c r="O242" s="2493" t="s">
        <v>2013</v>
      </c>
      <c r="P242" s="491" t="s">
        <v>55</v>
      </c>
      <c r="Q242" s="121"/>
      <c r="R242" s="29"/>
      <c r="S242" s="29"/>
      <c r="T242" s="29"/>
      <c r="U242" s="491">
        <f>$Q$9</f>
        <v>1</v>
      </c>
      <c r="V242" s="29"/>
      <c r="W242" s="29"/>
      <c r="X242" s="29"/>
      <c r="Y242" s="29"/>
    </row>
    <row r="243" spans="1:40" ht="16.5" hidden="1" customHeight="1">
      <c r="A243" s="2"/>
      <c r="B243" s="137"/>
      <c r="C243" s="21"/>
      <c r="D243" s="28" t="str">
        <f>IF(D241=$Q$14,$R$10,IF(ROUNDDOWN(D241,0)=$Q$10,$S$10,$R$10))</f>
        <v>　レベル　2</v>
      </c>
      <c r="E243" s="439" t="s">
        <v>2018</v>
      </c>
      <c r="F243" s="489"/>
      <c r="G243" s="489"/>
      <c r="H243" s="489"/>
      <c r="I243" s="489"/>
      <c r="J243" s="489"/>
      <c r="K243" s="489"/>
      <c r="L243" s="489"/>
      <c r="M243" s="490"/>
      <c r="N243" s="2"/>
      <c r="O243" s="121"/>
      <c r="P243" s="491">
        <f>$Q$10</f>
        <v>2</v>
      </c>
      <c r="Q243" s="121"/>
      <c r="R243" s="29"/>
      <c r="S243" s="29"/>
      <c r="T243" s="29"/>
      <c r="U243" s="491">
        <f>$Q$10</f>
        <v>2</v>
      </c>
      <c r="V243" s="29"/>
      <c r="W243" s="29"/>
      <c r="X243" s="29"/>
      <c r="Y243" s="29"/>
    </row>
    <row r="244" spans="1:40" ht="16.5" hidden="1" customHeight="1">
      <c r="A244" s="2"/>
      <c r="B244" s="137"/>
      <c r="C244" s="21"/>
      <c r="D244" s="28" t="str">
        <f>IF(D241=$Q$14,$R$11,IF(ROUNDDOWN(D241,0)=$Q$11,$S$11,$R$11))</f>
        <v>■レベル　3</v>
      </c>
      <c r="E244" s="439" t="s">
        <v>2019</v>
      </c>
      <c r="F244" s="489"/>
      <c r="G244" s="489"/>
      <c r="H244" s="489"/>
      <c r="I244" s="489"/>
      <c r="J244" s="489"/>
      <c r="K244" s="489"/>
      <c r="L244" s="489"/>
      <c r="M244" s="490"/>
      <c r="N244" s="2"/>
      <c r="O244" s="121"/>
      <c r="P244" s="491">
        <f>$Q$11</f>
        <v>3</v>
      </c>
      <c r="Q244" s="121"/>
      <c r="R244" s="29"/>
      <c r="S244" s="29"/>
      <c r="T244" s="29"/>
      <c r="U244" s="491">
        <f>$Q$11</f>
        <v>3</v>
      </c>
      <c r="V244" s="29"/>
      <c r="W244" s="29"/>
      <c r="X244" s="29"/>
      <c r="Y244" s="29"/>
    </row>
    <row r="245" spans="1:40" ht="16.5" hidden="1" customHeight="1">
      <c r="A245" s="2"/>
      <c r="B245" s="137"/>
      <c r="C245" s="21"/>
      <c r="D245" s="28" t="str">
        <f>IF(D241=$Q$14,$R$12,IF(ROUNDDOWN(D241,0)=$Q$12,$S$12,$R$12))</f>
        <v>　レベル　4</v>
      </c>
      <c r="E245" s="451" t="s">
        <v>2020</v>
      </c>
      <c r="F245" s="2630"/>
      <c r="G245" s="2630"/>
      <c r="H245" s="2630"/>
      <c r="I245" s="2630"/>
      <c r="J245" s="2630"/>
      <c r="K245" s="2630"/>
      <c r="L245" s="2630"/>
      <c r="M245" s="2631"/>
      <c r="N245" s="2"/>
      <c r="O245" s="121"/>
      <c r="P245" s="491">
        <f>$Q$12</f>
        <v>4</v>
      </c>
      <c r="Q245" s="121"/>
      <c r="R245" s="29"/>
      <c r="S245" s="29"/>
      <c r="T245" s="29"/>
      <c r="U245" s="491">
        <f>$Q$12</f>
        <v>4</v>
      </c>
      <c r="V245" s="29"/>
      <c r="W245" s="29"/>
      <c r="X245" s="29"/>
      <c r="Y245" s="29"/>
    </row>
    <row r="246" spans="1:40" ht="16.5" hidden="1" customHeight="1">
      <c r="A246" s="2"/>
      <c r="B246" s="137"/>
      <c r="C246" s="21"/>
      <c r="D246" s="26" t="str">
        <f>IF(D241=$Q$14,$R$13,IF(ROUNDDOWN(D241,0)=$Q$13,$S$13,$R$13))</f>
        <v>　レベル　5</v>
      </c>
      <c r="E246" s="473" t="s">
        <v>2021</v>
      </c>
      <c r="F246" s="2632"/>
      <c r="G246" s="2632"/>
      <c r="H246" s="2632"/>
      <c r="I246" s="2632"/>
      <c r="J246" s="2632"/>
      <c r="K246" s="2632"/>
      <c r="L246" s="2632"/>
      <c r="M246" s="2633"/>
      <c r="N246" s="2"/>
      <c r="O246" s="121"/>
      <c r="P246" s="491">
        <f>$Q$13</f>
        <v>5</v>
      </c>
      <c r="Q246" s="121"/>
      <c r="R246" s="29"/>
      <c r="S246" s="29"/>
      <c r="T246" s="29"/>
      <c r="U246" s="491">
        <f>$Q$13</f>
        <v>5</v>
      </c>
      <c r="V246" s="29"/>
      <c r="W246" s="29"/>
      <c r="X246" s="29"/>
      <c r="Y246" s="29"/>
    </row>
    <row r="247" spans="1:40" ht="16.5" hidden="1" customHeight="1" thickBot="1">
      <c r="A247" s="2"/>
      <c r="B247" s="137"/>
      <c r="C247" s="19"/>
      <c r="D247" s="19"/>
      <c r="E247" s="874" t="s">
        <v>376</v>
      </c>
      <c r="F247" s="2520"/>
      <c r="G247" s="2520"/>
      <c r="H247" s="2520"/>
      <c r="I247" s="2520"/>
      <c r="J247" s="2520"/>
      <c r="K247" s="2520"/>
      <c r="L247" s="2520"/>
      <c r="M247" s="2520"/>
      <c r="N247" s="2"/>
      <c r="O247" s="121"/>
      <c r="P247" s="491" t="s">
        <v>55</v>
      </c>
      <c r="Q247" s="284" t="s">
        <v>87</v>
      </c>
      <c r="R247" s="29"/>
      <c r="S247" s="29"/>
      <c r="T247" s="29"/>
      <c r="U247" s="491" t="str">
        <f>$Q$14</f>
        <v>対象外</v>
      </c>
      <c r="V247" s="29"/>
      <c r="W247" s="29"/>
      <c r="X247" s="29"/>
      <c r="Y247" s="29"/>
    </row>
    <row r="248" spans="1:40" ht="42.75" hidden="1" customHeight="1">
      <c r="A248" s="2"/>
      <c r="B248" s="137"/>
      <c r="C248" s="19"/>
      <c r="D248" s="19"/>
      <c r="E248" s="330"/>
      <c r="F248" s="445" t="s">
        <v>1668</v>
      </c>
      <c r="G248" s="2976" t="s">
        <v>1670</v>
      </c>
      <c r="H248" s="2976"/>
      <c r="I248" s="2976"/>
      <c r="J248" s="2976"/>
      <c r="K248" s="2976"/>
      <c r="L248" s="2976"/>
      <c r="M248" s="2976"/>
      <c r="N248" s="2"/>
      <c r="O248" s="2493" t="s">
        <v>2012</v>
      </c>
      <c r="Q248" s="121"/>
      <c r="R248" s="29"/>
      <c r="S248" s="29"/>
      <c r="T248" s="29"/>
      <c r="U248" s="511"/>
      <c r="V248" s="29"/>
      <c r="W248" s="29"/>
      <c r="X248" s="29"/>
      <c r="Y248" s="29"/>
    </row>
    <row r="249" spans="1:40" ht="82.5" hidden="1" customHeight="1" thickBot="1">
      <c r="A249" s="2"/>
      <c r="B249" s="137"/>
      <c r="C249" s="19"/>
      <c r="D249" s="19"/>
      <c r="E249" s="671"/>
      <c r="F249" s="2650" t="s">
        <v>1669</v>
      </c>
      <c r="G249" s="2977" t="s">
        <v>1671</v>
      </c>
      <c r="H249" s="2978"/>
      <c r="I249" s="2978"/>
      <c r="J249" s="2978"/>
      <c r="K249" s="2978"/>
      <c r="L249" s="2978"/>
      <c r="M249" s="2978"/>
      <c r="N249" s="2"/>
      <c r="O249" s="2493" t="s">
        <v>2012</v>
      </c>
      <c r="P249" s="511"/>
      <c r="Q249" s="121"/>
      <c r="R249" s="29"/>
      <c r="S249" s="29"/>
      <c r="T249" s="29"/>
      <c r="U249" s="511"/>
      <c r="V249" s="29"/>
      <c r="W249" s="29"/>
      <c r="X249" s="29"/>
      <c r="Y249" s="29"/>
    </row>
    <row r="250" spans="1:40" ht="52.2" hidden="1" customHeight="1" thickBot="1">
      <c r="A250" s="2"/>
      <c r="B250" s="137"/>
      <c r="C250" s="19"/>
      <c r="D250" s="19"/>
      <c r="E250" s="649"/>
      <c r="F250" s="2592" t="s">
        <v>2023</v>
      </c>
      <c r="G250" s="2979" t="s">
        <v>1670</v>
      </c>
      <c r="H250" s="2979"/>
      <c r="I250" s="2979"/>
      <c r="J250" s="2979"/>
      <c r="K250" s="2979"/>
      <c r="L250" s="2979"/>
      <c r="M250" s="2979"/>
      <c r="N250" s="2"/>
      <c r="P250" s="511"/>
      <c r="Q250" s="121"/>
      <c r="R250" s="29"/>
      <c r="S250" s="29"/>
      <c r="T250" s="29"/>
      <c r="U250" s="511"/>
      <c r="V250" s="29"/>
      <c r="W250" s="29"/>
      <c r="X250" s="29"/>
      <c r="Y250" s="29"/>
    </row>
    <row r="251" spans="1:40" ht="17.25" hidden="1" customHeight="1">
      <c r="A251" s="2"/>
      <c r="B251" s="137"/>
      <c r="C251" s="19"/>
      <c r="D251" s="19"/>
      <c r="E251" s="661"/>
      <c r="F251" s="444"/>
      <c r="G251" s="444"/>
      <c r="H251" s="444"/>
      <c r="I251" s="444"/>
      <c r="J251" s="444"/>
      <c r="K251" s="444" t="s">
        <v>400</v>
      </c>
      <c r="L251" s="873">
        <f>IF(COUNTIF(E250:E250,U3)&gt;=1,1,0)</f>
        <v>0</v>
      </c>
      <c r="M251" s="443" t="s">
        <v>401</v>
      </c>
      <c r="N251" s="2"/>
      <c r="O251" s="121"/>
      <c r="P251" s="511"/>
      <c r="Q251" s="121"/>
      <c r="R251" s="29"/>
      <c r="S251" s="29"/>
      <c r="T251" s="29"/>
      <c r="U251" s="511"/>
      <c r="V251" s="29"/>
      <c r="W251" s="29"/>
      <c r="X251" s="29"/>
      <c r="Y251" s="29"/>
    </row>
    <row r="252" spans="1:40" s="29" customFormat="1" ht="8.25" hidden="1" customHeight="1">
      <c r="A252" s="19"/>
      <c r="B252" s="137"/>
      <c r="C252" s="504"/>
      <c r="D252" s="270"/>
      <c r="E252" s="270"/>
      <c r="F252" s="2"/>
      <c r="G252" s="2"/>
      <c r="H252" s="2"/>
      <c r="I252" s="2"/>
      <c r="J252" s="2"/>
      <c r="K252" s="2"/>
      <c r="L252" s="2"/>
      <c r="M252" s="2"/>
      <c r="N252" s="22"/>
      <c r="P252" s="511"/>
      <c r="R252" s="4"/>
      <c r="S252" s="4"/>
      <c r="T252" s="113"/>
    </row>
    <row r="253" spans="1:40" s="29" customFormat="1" ht="21" hidden="1" customHeight="1">
      <c r="A253" s="19"/>
      <c r="B253" s="137"/>
      <c r="C253" s="504"/>
      <c r="E253" s="646" t="s">
        <v>3</v>
      </c>
      <c r="F253" s="647"/>
      <c r="G253" s="2441"/>
      <c r="H253" s="2442"/>
      <c r="I253" s="990"/>
      <c r="J253" s="990"/>
      <c r="K253" s="990"/>
      <c r="L253" s="990"/>
      <c r="M253" s="991"/>
      <c r="N253" s="22"/>
      <c r="P253" s="511"/>
      <c r="Q253" s="284"/>
      <c r="R253" s="4"/>
      <c r="S253" s="4"/>
      <c r="T253" s="113"/>
      <c r="U253" s="511"/>
      <c r="V253" s="113"/>
      <c r="W253" s="113"/>
      <c r="X253" s="113"/>
      <c r="Y253" s="113"/>
    </row>
    <row r="254" spans="1:40" s="29" customFormat="1">
      <c r="A254" s="19"/>
      <c r="B254" s="137"/>
      <c r="C254" s="137"/>
      <c r="D254" s="137"/>
      <c r="E254" s="137"/>
      <c r="F254" s="137"/>
      <c r="G254" s="137"/>
      <c r="H254" s="137"/>
      <c r="I254" s="137"/>
      <c r="J254" s="137"/>
      <c r="K254" s="137"/>
      <c r="L254" s="137"/>
      <c r="M254" s="137"/>
      <c r="N254" s="137"/>
      <c r="O254" s="137"/>
      <c r="P254" s="137"/>
      <c r="Q254" s="284"/>
      <c r="R254" s="4"/>
      <c r="S254" s="4"/>
      <c r="T254" s="113"/>
      <c r="U254" s="511"/>
      <c r="V254" s="113"/>
      <c r="W254" s="113"/>
      <c r="X254" s="113"/>
      <c r="Y254" s="113"/>
    </row>
    <row r="255" spans="1:40" s="2109" customFormat="1" ht="18.75" customHeight="1">
      <c r="A255" s="2108"/>
      <c r="B255" s="2124">
        <v>3.3</v>
      </c>
      <c r="C255" s="2125" t="s">
        <v>510</v>
      </c>
      <c r="D255" s="4"/>
      <c r="E255" s="24"/>
      <c r="F255" s="24"/>
      <c r="G255" s="24"/>
      <c r="H255" s="24"/>
      <c r="I255" s="500"/>
      <c r="J255" s="500"/>
      <c r="K255" s="500"/>
      <c r="L255" s="500"/>
      <c r="M255" s="500"/>
      <c r="N255" s="2111"/>
      <c r="O255" s="2493" t="s">
        <v>2012</v>
      </c>
      <c r="P255" s="2113"/>
      <c r="Q255" s="2114"/>
      <c r="R255" s="2114"/>
      <c r="S255" s="2114"/>
      <c r="T255" s="2114"/>
      <c r="U255" s="2113"/>
      <c r="V255" s="2114"/>
      <c r="W255" s="2114"/>
    </row>
    <row r="256" spans="1:40" s="2109" customFormat="1" ht="16.5" customHeight="1" thickBot="1">
      <c r="A256" s="2108"/>
      <c r="D256" s="2649"/>
      <c r="E256" s="2649"/>
      <c r="F256" s="125"/>
      <c r="G256" s="4"/>
      <c r="H256" s="4"/>
      <c r="I256" s="500"/>
      <c r="J256" s="500"/>
      <c r="K256" s="500"/>
      <c r="L256" s="148" t="s">
        <v>2</v>
      </c>
      <c r="M256" s="2651">
        <f>重み!M58</f>
        <v>1</v>
      </c>
      <c r="N256" s="2111"/>
      <c r="O256" s="2135" t="str">
        <f>C255</f>
        <v>犯罪に備える</v>
      </c>
      <c r="P256" s="2135">
        <f>D255</f>
        <v>0</v>
      </c>
      <c r="Q256" s="2135">
        <f t="shared" ref="Q256:Y256" si="19">E256</f>
        <v>0</v>
      </c>
      <c r="R256" s="2135">
        <f t="shared" si="19"/>
        <v>0</v>
      </c>
      <c r="S256" s="2135">
        <f t="shared" si="19"/>
        <v>0</v>
      </c>
      <c r="T256" s="2135">
        <f t="shared" si="19"/>
        <v>0</v>
      </c>
      <c r="U256" s="2135">
        <f t="shared" si="19"/>
        <v>0</v>
      </c>
      <c r="V256" s="2135">
        <f t="shared" si="19"/>
        <v>0</v>
      </c>
      <c r="W256" s="2135">
        <f t="shared" si="19"/>
        <v>0</v>
      </c>
      <c r="X256" s="2135" t="str">
        <f t="shared" si="19"/>
        <v>重み係数＝</v>
      </c>
      <c r="Y256" s="2135">
        <f t="shared" si="19"/>
        <v>1</v>
      </c>
      <c r="Z256" s="2136"/>
      <c r="AA256" s="2136"/>
      <c r="AB256" s="2136"/>
      <c r="AC256" s="2136"/>
      <c r="AD256" s="2136"/>
      <c r="AE256" s="2136"/>
      <c r="AF256" s="2136"/>
      <c r="AG256" s="2136"/>
      <c r="AH256" s="2136"/>
      <c r="AI256" s="2136"/>
      <c r="AJ256" s="2136"/>
      <c r="AK256" s="2136"/>
      <c r="AL256" s="2136"/>
      <c r="AM256" s="2136"/>
      <c r="AN256" s="2136"/>
    </row>
    <row r="257" spans="1:40" s="2109" customFormat="1" ht="16.5" customHeight="1" thickBot="1">
      <c r="A257" s="2108"/>
      <c r="B257" s="2117"/>
      <c r="C257" s="2118"/>
      <c r="D257" s="864">
        <v>5</v>
      </c>
      <c r="E257" s="2934" t="s">
        <v>415</v>
      </c>
      <c r="F257" s="2935"/>
      <c r="G257" s="2935"/>
      <c r="H257" s="2935"/>
      <c r="I257" s="2935"/>
      <c r="J257" s="2935"/>
      <c r="K257" s="2935"/>
      <c r="L257" s="2935"/>
      <c r="M257" s="2936"/>
      <c r="N257" s="2111"/>
      <c r="P257" s="2135"/>
      <c r="Q257" s="2137"/>
      <c r="R257" s="2135"/>
      <c r="S257" s="2135"/>
      <c r="T257" s="2135"/>
      <c r="U257" s="2135"/>
      <c r="V257" s="2135"/>
      <c r="W257" s="2135"/>
      <c r="X257" s="2135"/>
      <c r="Y257" s="2135"/>
      <c r="Z257" s="2136"/>
      <c r="AA257" s="2136"/>
      <c r="AB257" s="2136"/>
      <c r="AC257" s="2136"/>
      <c r="AD257" s="2136"/>
      <c r="AE257" s="2136"/>
      <c r="AF257" s="2136"/>
      <c r="AG257" s="2136"/>
      <c r="AH257" s="2136"/>
      <c r="AI257" s="2136"/>
      <c r="AJ257" s="2136"/>
      <c r="AK257" s="2136"/>
      <c r="AL257" s="2136"/>
      <c r="AM257" s="2136"/>
      <c r="AN257" s="2136"/>
    </row>
    <row r="258" spans="1:40" s="2109" customFormat="1" ht="16.5" customHeight="1">
      <c r="A258" s="2108"/>
      <c r="B258" s="2117"/>
      <c r="C258" s="2118"/>
      <c r="D258" s="25" t="str">
        <f>IF(D257=$Q$14,$R$9,IF(ROUNDDOWN(D257,0)=$Q$9,$S$9,$R$9))</f>
        <v>　レベル　1</v>
      </c>
      <c r="E258" s="438" t="s">
        <v>327</v>
      </c>
      <c r="F258" s="487"/>
      <c r="G258" s="487"/>
      <c r="H258" s="487"/>
      <c r="I258" s="487"/>
      <c r="J258" s="487"/>
      <c r="K258" s="487"/>
      <c r="L258" s="487"/>
      <c r="M258" s="488"/>
      <c r="N258" s="2111"/>
      <c r="O258" s="2493" t="s">
        <v>2012</v>
      </c>
      <c r="P258" s="2138">
        <f>$Q$9</f>
        <v>1</v>
      </c>
      <c r="Q258" s="2135"/>
      <c r="R258" s="2135"/>
      <c r="S258" s="2135"/>
      <c r="T258" s="2135"/>
      <c r="U258" s="2138">
        <f>$Q$9</f>
        <v>1</v>
      </c>
      <c r="V258" s="2135"/>
      <c r="W258" s="2135"/>
      <c r="X258" s="2135"/>
      <c r="Y258" s="2135"/>
      <c r="Z258" s="2136"/>
      <c r="AA258" s="2136"/>
      <c r="AB258" s="2136"/>
      <c r="AC258" s="2136"/>
      <c r="AD258" s="2136"/>
      <c r="AE258" s="2136"/>
      <c r="AF258" s="2136"/>
      <c r="AG258" s="2136"/>
      <c r="AH258" s="2136"/>
      <c r="AI258" s="2136"/>
      <c r="AJ258" s="2136"/>
      <c r="AK258" s="2136"/>
      <c r="AL258" s="2136"/>
      <c r="AM258" s="2136"/>
      <c r="AN258" s="2136"/>
    </row>
    <row r="259" spans="1:40" s="2109" customFormat="1" ht="16.5" customHeight="1">
      <c r="A259" s="2108"/>
      <c r="B259" s="2117"/>
      <c r="C259" s="2118"/>
      <c r="D259" s="28" t="str">
        <f>IF(D257=$Q$14,$R$10,IF(ROUNDDOWN(D257,0)=$Q$10,$S$10,$R$10))</f>
        <v>　レベル　2</v>
      </c>
      <c r="E259" s="439" t="s">
        <v>409</v>
      </c>
      <c r="F259" s="489"/>
      <c r="G259" s="489"/>
      <c r="H259" s="489"/>
      <c r="I259" s="489"/>
      <c r="J259" s="489"/>
      <c r="K259" s="489"/>
      <c r="L259" s="489"/>
      <c r="M259" s="490"/>
      <c r="N259" s="2111"/>
      <c r="O259" s="2137"/>
      <c r="P259" s="2138" t="s">
        <v>55</v>
      </c>
      <c r="Q259" s="2135"/>
      <c r="R259" s="2135"/>
      <c r="S259" s="2135"/>
      <c r="T259" s="2135"/>
      <c r="U259" s="2138">
        <f>$Q$10</f>
        <v>2</v>
      </c>
      <c r="V259" s="2135"/>
      <c r="W259" s="2135"/>
      <c r="X259" s="2135"/>
      <c r="Y259" s="2135"/>
      <c r="Z259" s="2136"/>
      <c r="AA259" s="2136"/>
      <c r="AB259" s="2136"/>
      <c r="AC259" s="2136"/>
      <c r="AD259" s="2136"/>
      <c r="AE259" s="2136"/>
      <c r="AF259" s="2136"/>
      <c r="AG259" s="2136"/>
      <c r="AH259" s="2136"/>
      <c r="AI259" s="2136"/>
      <c r="AJ259" s="2136"/>
      <c r="AK259" s="2136"/>
      <c r="AL259" s="2136"/>
      <c r="AM259" s="2136"/>
      <c r="AN259" s="2136"/>
    </row>
    <row r="260" spans="1:40" s="2109" customFormat="1" ht="24" customHeight="1">
      <c r="A260" s="2108"/>
      <c r="B260" s="2117"/>
      <c r="C260" s="2118"/>
      <c r="D260" s="28" t="str">
        <f>IF(D257=$Q$14,$R$11,IF(ROUNDDOWN(D257,0)=$Q$11,$S$11,$R$11))</f>
        <v>　レベル　3</v>
      </c>
      <c r="E260" s="2967" t="s">
        <v>328</v>
      </c>
      <c r="F260" s="2968"/>
      <c r="G260" s="2968"/>
      <c r="H260" s="2968"/>
      <c r="I260" s="2968"/>
      <c r="J260" s="2968"/>
      <c r="K260" s="2968"/>
      <c r="L260" s="2968"/>
      <c r="M260" s="2969"/>
      <c r="N260" s="2111"/>
      <c r="O260" s="2137"/>
      <c r="P260" s="2138">
        <f>$Q$11</f>
        <v>3</v>
      </c>
      <c r="Q260" s="2135"/>
      <c r="R260" s="2135"/>
      <c r="S260" s="2135"/>
      <c r="T260" s="2135"/>
      <c r="U260" s="2138">
        <f>$Q$11</f>
        <v>3</v>
      </c>
      <c r="V260" s="2135"/>
      <c r="W260" s="2135"/>
      <c r="X260" s="2135"/>
      <c r="Y260" s="2135"/>
      <c r="Z260" s="2136"/>
      <c r="AA260" s="2136"/>
      <c r="AB260" s="2136"/>
      <c r="AC260" s="2136"/>
      <c r="AD260" s="2136"/>
      <c r="AE260" s="2136"/>
      <c r="AF260" s="2136"/>
      <c r="AG260" s="2136"/>
      <c r="AH260" s="2136"/>
      <c r="AI260" s="2136"/>
      <c r="AJ260" s="2136"/>
      <c r="AK260" s="2136"/>
      <c r="AL260" s="2136"/>
      <c r="AM260" s="2136"/>
      <c r="AN260" s="2136"/>
    </row>
    <row r="261" spans="1:40" s="2109" customFormat="1" ht="24" customHeight="1">
      <c r="A261" s="2108"/>
      <c r="B261" s="2117"/>
      <c r="C261" s="2118"/>
      <c r="D261" s="28" t="str">
        <f>IF(D257=$Q$14,$R$12,IF(ROUNDDOWN(D257,0)=$Q$12,$S$12,$R$12))</f>
        <v>　レベル　4</v>
      </c>
      <c r="E261" s="2967" t="s">
        <v>329</v>
      </c>
      <c r="F261" s="2980"/>
      <c r="G261" s="2980"/>
      <c r="H261" s="2980"/>
      <c r="I261" s="2980"/>
      <c r="J261" s="2980"/>
      <c r="K261" s="2980"/>
      <c r="L261" s="2980"/>
      <c r="M261" s="2981"/>
      <c r="N261" s="2111"/>
      <c r="O261" s="2137"/>
      <c r="P261" s="2138">
        <f>$Q$12</f>
        <v>4</v>
      </c>
      <c r="Q261" s="2135"/>
      <c r="R261" s="2135"/>
      <c r="S261" s="2135"/>
      <c r="T261" s="2135"/>
      <c r="U261" s="2138">
        <f>$Q$12</f>
        <v>4</v>
      </c>
      <c r="V261" s="2135"/>
      <c r="W261" s="2135"/>
      <c r="X261" s="2135"/>
      <c r="Y261" s="2135"/>
      <c r="Z261" s="2136"/>
      <c r="AA261" s="2136"/>
      <c r="AB261" s="2136"/>
      <c r="AC261" s="2136"/>
      <c r="AD261" s="2136"/>
      <c r="AE261" s="2136"/>
      <c r="AF261" s="2136"/>
      <c r="AG261" s="2136"/>
      <c r="AH261" s="2136"/>
      <c r="AI261" s="2136"/>
      <c r="AJ261" s="2136"/>
      <c r="AK261" s="2136"/>
      <c r="AL261" s="2136"/>
      <c r="AM261" s="2136"/>
      <c r="AN261" s="2136"/>
    </row>
    <row r="262" spans="1:40" s="2109" customFormat="1" ht="24" customHeight="1">
      <c r="A262" s="2108"/>
      <c r="B262" s="2117"/>
      <c r="C262" s="2118"/>
      <c r="D262" s="26" t="str">
        <f>IF(D257=$Q$14,$R$13,IF(ROUNDDOWN(D257,0)=$Q$13,$S$13,$R$13))</f>
        <v>■レベル　5</v>
      </c>
      <c r="E262" s="2963" t="s">
        <v>330</v>
      </c>
      <c r="F262" s="2982"/>
      <c r="G262" s="2982"/>
      <c r="H262" s="2982"/>
      <c r="I262" s="2982"/>
      <c r="J262" s="2982"/>
      <c r="K262" s="2982"/>
      <c r="L262" s="2982"/>
      <c r="M262" s="2983"/>
      <c r="N262" s="2111"/>
      <c r="O262" s="2137"/>
      <c r="P262" s="2138">
        <f>$Q$13</f>
        <v>5</v>
      </c>
      <c r="Q262" s="2135"/>
      <c r="R262" s="2135"/>
      <c r="S262" s="2135"/>
      <c r="T262" s="2135"/>
      <c r="U262" s="2138">
        <f>$Q$13</f>
        <v>5</v>
      </c>
      <c r="V262" s="2135"/>
      <c r="W262" s="2135"/>
      <c r="X262" s="2135"/>
      <c r="Y262" s="2135"/>
      <c r="Z262" s="2136"/>
      <c r="AA262" s="2136"/>
      <c r="AB262" s="2136"/>
      <c r="AC262" s="2136"/>
      <c r="AD262" s="2136"/>
      <c r="AE262" s="2136"/>
      <c r="AF262" s="2136"/>
      <c r="AG262" s="2136"/>
      <c r="AH262" s="2136"/>
      <c r="AI262" s="2136"/>
      <c r="AJ262" s="2136"/>
      <c r="AK262" s="2136"/>
      <c r="AL262" s="2136"/>
      <c r="AM262" s="2136"/>
      <c r="AN262" s="2136"/>
    </row>
    <row r="263" spans="1:40" s="2114" customFormat="1" ht="8.25" customHeight="1">
      <c r="A263" s="2119"/>
      <c r="B263" s="2117"/>
      <c r="C263" s="2120"/>
      <c r="D263" s="270"/>
      <c r="E263" s="270"/>
      <c r="F263" s="2"/>
      <c r="G263" s="2"/>
      <c r="H263" s="2"/>
      <c r="I263" s="2"/>
      <c r="J263" s="2"/>
      <c r="K263" s="2"/>
      <c r="L263" s="2"/>
      <c r="M263" s="2"/>
      <c r="N263" s="2111"/>
      <c r="O263" s="2135"/>
      <c r="P263" s="2138" t="s">
        <v>55</v>
      </c>
      <c r="Q263" s="1761" t="s">
        <v>87</v>
      </c>
      <c r="R263" s="2136"/>
      <c r="S263" s="2136"/>
      <c r="T263" s="2135"/>
      <c r="U263" s="2135"/>
      <c r="V263" s="2135"/>
      <c r="W263" s="2135"/>
      <c r="X263" s="2135"/>
      <c r="Y263" s="2135"/>
      <c r="Z263" s="2135"/>
      <c r="AA263" s="2135"/>
      <c r="AB263" s="2135"/>
      <c r="AC263" s="2135"/>
      <c r="AD263" s="2135"/>
      <c r="AE263" s="2135"/>
      <c r="AF263" s="2135"/>
      <c r="AG263" s="2135"/>
      <c r="AH263" s="2135"/>
      <c r="AI263" s="2135"/>
      <c r="AJ263" s="2135"/>
      <c r="AK263" s="2135"/>
      <c r="AL263" s="2135"/>
      <c r="AM263" s="2135"/>
      <c r="AN263" s="2135"/>
    </row>
    <row r="264" spans="1:40" s="2114" customFormat="1" ht="21" customHeight="1">
      <c r="A264" s="2119"/>
      <c r="B264" s="2117"/>
      <c r="C264" s="2120"/>
      <c r="D264" s="29"/>
      <c r="E264" s="646" t="s">
        <v>3</v>
      </c>
      <c r="F264" s="647"/>
      <c r="G264" s="2441"/>
      <c r="H264" s="2442"/>
      <c r="I264" s="990"/>
      <c r="J264" s="990"/>
      <c r="K264" s="990"/>
      <c r="L264" s="990"/>
      <c r="M264" s="991"/>
      <c r="N264" s="2111"/>
      <c r="O264" s="2135"/>
      <c r="P264" s="2139"/>
      <c r="Q264" s="1761"/>
      <c r="R264" s="2136"/>
      <c r="S264" s="2136"/>
      <c r="T264" s="2135"/>
      <c r="U264" s="2139"/>
      <c r="V264" s="2135"/>
      <c r="W264" s="2135"/>
      <c r="X264" s="2135"/>
      <c r="Y264" s="2135"/>
      <c r="Z264" s="2135"/>
      <c r="AA264" s="2135"/>
      <c r="AB264" s="2135"/>
      <c r="AC264" s="2135"/>
      <c r="AD264" s="2135"/>
      <c r="AE264" s="2135"/>
      <c r="AF264" s="2135"/>
      <c r="AG264" s="2135"/>
      <c r="AH264" s="2135"/>
      <c r="AI264" s="2135"/>
      <c r="AJ264" s="2135"/>
      <c r="AK264" s="2135"/>
      <c r="AL264" s="2135"/>
      <c r="AM264" s="2135"/>
      <c r="AN264" s="2135"/>
    </row>
    <row r="265" spans="1:40" ht="8.25" hidden="1" customHeight="1">
      <c r="A265" s="2"/>
      <c r="B265" s="137"/>
      <c r="C265" s="137"/>
      <c r="D265" s="24"/>
      <c r="E265" s="2521"/>
      <c r="F265" s="2521"/>
      <c r="G265" s="2521"/>
      <c r="H265" s="2521"/>
      <c r="I265" s="2522"/>
      <c r="J265" s="2522"/>
      <c r="K265" s="2522"/>
      <c r="L265" s="2522"/>
      <c r="M265" s="2522"/>
      <c r="N265" s="137"/>
      <c r="O265" s="2140"/>
      <c r="P265" s="2139"/>
      <c r="Q265" s="2135"/>
      <c r="R265" s="2135"/>
      <c r="S265" s="2135"/>
      <c r="T265" s="2135"/>
      <c r="U265" s="2139"/>
      <c r="V265" s="2135"/>
      <c r="W265" s="2135"/>
      <c r="X265" s="2136"/>
      <c r="Y265" s="2136"/>
      <c r="Z265" s="2136"/>
      <c r="AA265" s="2136"/>
      <c r="AB265" s="2136"/>
      <c r="AC265" s="2136"/>
      <c r="AD265" s="2136"/>
      <c r="AE265" s="2136"/>
      <c r="AF265" s="2136"/>
      <c r="AG265" s="2136"/>
      <c r="AH265" s="2136"/>
      <c r="AI265" s="2136"/>
      <c r="AJ265" s="2136"/>
      <c r="AK265" s="2136"/>
      <c r="AL265" s="2136"/>
      <c r="AM265" s="2136"/>
      <c r="AN265" s="2136"/>
    </row>
    <row r="266" spans="1:40" s="2109" customFormat="1" ht="16.5" hidden="1" customHeight="1">
      <c r="A266" s="2108"/>
      <c r="B266" s="2117"/>
      <c r="C266" s="2118"/>
      <c r="D266" s="25" t="str">
        <f>IF(D265=$Q$14,$R$9,IF(ROUNDDOWN(D265,0)=$Q$9,$S$9,$R$9))</f>
        <v>　レベル　1</v>
      </c>
      <c r="E266" s="2509" t="s">
        <v>2025</v>
      </c>
      <c r="F266" s="487"/>
      <c r="G266" s="487"/>
      <c r="H266" s="487"/>
      <c r="I266" s="487"/>
      <c r="J266" s="487"/>
      <c r="K266" s="487"/>
      <c r="L266" s="487"/>
      <c r="M266" s="488"/>
      <c r="N266" s="2111"/>
      <c r="O266" s="2493" t="s">
        <v>2013</v>
      </c>
      <c r="P266" s="2138">
        <f>$Q$9</f>
        <v>1</v>
      </c>
      <c r="Q266" s="2135"/>
      <c r="R266" s="2135"/>
      <c r="S266" s="2135"/>
      <c r="T266" s="2135"/>
      <c r="U266" s="2138">
        <f>$Q$9</f>
        <v>1</v>
      </c>
      <c r="V266" s="2135"/>
      <c r="W266" s="2135"/>
      <c r="X266" s="2135"/>
      <c r="Y266" s="2135"/>
      <c r="Z266" s="2136"/>
      <c r="AA266" s="2136"/>
      <c r="AB266" s="2136"/>
      <c r="AC266" s="2136"/>
      <c r="AD266" s="2136"/>
      <c r="AE266" s="2136"/>
      <c r="AF266" s="2136"/>
      <c r="AG266" s="2136"/>
      <c r="AH266" s="2136"/>
      <c r="AI266" s="2136"/>
      <c r="AJ266" s="2136"/>
      <c r="AK266" s="2136"/>
      <c r="AL266" s="2136"/>
      <c r="AM266" s="2136"/>
      <c r="AN266" s="2136"/>
    </row>
    <row r="267" spans="1:40" s="2109" customFormat="1" ht="16.5" hidden="1" customHeight="1">
      <c r="A267" s="2108"/>
      <c r="B267" s="2117"/>
      <c r="C267" s="2118"/>
      <c r="D267" s="28" t="str">
        <f>IF(D265=$Q$14,$R$10,IF(ROUNDDOWN(D265,0)=$Q$10,$S$10,$R$10))</f>
        <v>　レベル　2</v>
      </c>
      <c r="E267" s="439" t="s">
        <v>409</v>
      </c>
      <c r="F267" s="489"/>
      <c r="G267" s="489"/>
      <c r="H267" s="489"/>
      <c r="I267" s="489"/>
      <c r="J267" s="489"/>
      <c r="K267" s="489"/>
      <c r="L267" s="489"/>
      <c r="M267" s="490"/>
      <c r="N267" s="2111"/>
      <c r="O267" s="2137"/>
      <c r="P267" s="2138" t="s">
        <v>55</v>
      </c>
      <c r="Q267" s="2135"/>
      <c r="R267" s="2135"/>
      <c r="S267" s="2135"/>
      <c r="T267" s="2135"/>
      <c r="U267" s="2138">
        <f>$Q$10</f>
        <v>2</v>
      </c>
      <c r="V267" s="2135"/>
      <c r="W267" s="2135"/>
      <c r="X267" s="2135"/>
      <c r="Y267" s="2135"/>
      <c r="Z267" s="2136"/>
      <c r="AA267" s="2136"/>
      <c r="AB267" s="2136"/>
      <c r="AC267" s="2136"/>
      <c r="AD267" s="2136"/>
      <c r="AE267" s="2136"/>
      <c r="AF267" s="2136"/>
      <c r="AG267" s="2136"/>
      <c r="AH267" s="2136"/>
      <c r="AI267" s="2136"/>
      <c r="AJ267" s="2136"/>
      <c r="AK267" s="2136"/>
      <c r="AL267" s="2136"/>
      <c r="AM267" s="2136"/>
      <c r="AN267" s="2136"/>
    </row>
    <row r="268" spans="1:40" s="2109" customFormat="1" ht="24" hidden="1" customHeight="1">
      <c r="A268" s="2108"/>
      <c r="B268" s="2117"/>
      <c r="C268" s="2118"/>
      <c r="D268" s="28" t="str">
        <f>IF(D265=$Q$14,$R$11,IF(ROUNDDOWN(D265,0)=$Q$11,$S$11,$R$11))</f>
        <v>　レベル　3</v>
      </c>
      <c r="E268" s="2495" t="s">
        <v>2024</v>
      </c>
      <c r="F268" s="489"/>
      <c r="G268" s="489"/>
      <c r="H268" s="489"/>
      <c r="I268" s="489"/>
      <c r="J268" s="489"/>
      <c r="K268" s="489"/>
      <c r="L268" s="489"/>
      <c r="M268" s="490"/>
      <c r="N268" s="2111"/>
      <c r="O268" s="2137"/>
      <c r="P268" s="2138">
        <f>$Q$11</f>
        <v>3</v>
      </c>
      <c r="Q268" s="2135"/>
      <c r="R268" s="2135"/>
      <c r="S268" s="2135"/>
      <c r="T268" s="2135"/>
      <c r="U268" s="2138">
        <f>$Q$11</f>
        <v>3</v>
      </c>
      <c r="V268" s="2135"/>
      <c r="W268" s="2135"/>
      <c r="X268" s="2135"/>
      <c r="Y268" s="2135"/>
      <c r="Z268" s="2136"/>
      <c r="AA268" s="2136"/>
      <c r="AB268" s="2136"/>
      <c r="AC268" s="2136"/>
      <c r="AD268" s="2136"/>
      <c r="AE268" s="2136"/>
      <c r="AF268" s="2136"/>
      <c r="AG268" s="2136"/>
      <c r="AH268" s="2136"/>
      <c r="AI268" s="2136"/>
      <c r="AJ268" s="2136"/>
      <c r="AK268" s="2136"/>
      <c r="AL268" s="2136"/>
      <c r="AM268" s="2136"/>
      <c r="AN268" s="2136"/>
    </row>
    <row r="269" spans="1:40" s="2109" customFormat="1" ht="24" hidden="1" customHeight="1">
      <c r="A269" s="2108"/>
      <c r="B269" s="2117"/>
      <c r="C269" s="2118"/>
      <c r="D269" s="28" t="str">
        <f>IF(D265=$Q$14,$R$12,IF(ROUNDDOWN(D265,0)=$Q$12,$S$12,$R$12))</f>
        <v>　レベル　4</v>
      </c>
      <c r="E269" s="2495" t="s">
        <v>2026</v>
      </c>
      <c r="F269" s="492"/>
      <c r="G269" s="492"/>
      <c r="H269" s="492"/>
      <c r="I269" s="492"/>
      <c r="J269" s="492"/>
      <c r="K269" s="492"/>
      <c r="L269" s="492"/>
      <c r="M269" s="493"/>
      <c r="N269" s="2111"/>
      <c r="O269" s="2137"/>
      <c r="P269" s="2138">
        <f>$Q$12</f>
        <v>4</v>
      </c>
      <c r="Q269" s="2135"/>
      <c r="R269" s="2135"/>
      <c r="S269" s="2135"/>
      <c r="T269" s="2135"/>
      <c r="U269" s="2138">
        <f>$Q$12</f>
        <v>4</v>
      </c>
      <c r="V269" s="2135"/>
      <c r="W269" s="2135"/>
      <c r="X269" s="2135"/>
      <c r="Y269" s="2135"/>
      <c r="Z269" s="2136"/>
      <c r="AA269" s="2136"/>
      <c r="AB269" s="2136"/>
      <c r="AC269" s="2136"/>
      <c r="AD269" s="2136"/>
      <c r="AE269" s="2136"/>
      <c r="AF269" s="2136"/>
      <c r="AG269" s="2136"/>
      <c r="AH269" s="2136"/>
      <c r="AI269" s="2136"/>
      <c r="AJ269" s="2136"/>
      <c r="AK269" s="2136"/>
      <c r="AL269" s="2136"/>
      <c r="AM269" s="2136"/>
      <c r="AN269" s="2136"/>
    </row>
    <row r="270" spans="1:40" s="2109" customFormat="1" ht="24" hidden="1" customHeight="1">
      <c r="A270" s="2108"/>
      <c r="B270" s="2117"/>
      <c r="C270" s="2118"/>
      <c r="D270" s="26" t="str">
        <f>IF(D265=$Q$14,$R$13,IF(ROUNDDOWN(D265,0)=$Q$13,$S$13,$R$13))</f>
        <v>　レベル　5</v>
      </c>
      <c r="E270" s="2497" t="s">
        <v>2027</v>
      </c>
      <c r="F270" s="494"/>
      <c r="G270" s="494"/>
      <c r="H270" s="494"/>
      <c r="I270" s="494"/>
      <c r="J270" s="494"/>
      <c r="K270" s="494"/>
      <c r="L270" s="494"/>
      <c r="M270" s="495"/>
      <c r="N270" s="2111"/>
      <c r="O270" s="2137"/>
      <c r="P270" s="2138">
        <f>$Q$13</f>
        <v>5</v>
      </c>
      <c r="Q270" s="2135"/>
      <c r="R270" s="2135"/>
      <c r="S270" s="2135"/>
      <c r="T270" s="2135"/>
      <c r="U270" s="2138">
        <f>$Q$13</f>
        <v>5</v>
      </c>
      <c r="V270" s="2135"/>
      <c r="W270" s="2135"/>
      <c r="X270" s="2135"/>
      <c r="Y270" s="2135"/>
      <c r="Z270" s="2136"/>
      <c r="AA270" s="2136"/>
      <c r="AB270" s="2136"/>
      <c r="AC270" s="2136"/>
      <c r="AD270" s="2136"/>
      <c r="AE270" s="2136"/>
      <c r="AF270" s="2136"/>
      <c r="AG270" s="2136"/>
      <c r="AH270" s="2136"/>
      <c r="AI270" s="2136"/>
      <c r="AJ270" s="2136"/>
      <c r="AK270" s="2136"/>
      <c r="AL270" s="2136"/>
      <c r="AM270" s="2136"/>
      <c r="AN270" s="2136"/>
    </row>
    <row r="271" spans="1:40" s="2114" customFormat="1" ht="8.25" hidden="1" customHeight="1">
      <c r="A271" s="2119"/>
      <c r="B271" s="2117"/>
      <c r="C271" s="2120"/>
      <c r="D271" s="2121"/>
      <c r="E271" s="2121"/>
      <c r="F271" s="2108"/>
      <c r="G271" s="2108"/>
      <c r="H271" s="2108"/>
      <c r="I271" s="2108"/>
      <c r="J271" s="2108"/>
      <c r="K271" s="2108"/>
      <c r="L271" s="2108"/>
      <c r="M271" s="2108"/>
      <c r="N271" s="2111"/>
      <c r="O271" s="2135"/>
      <c r="P271" s="2138" t="s">
        <v>55</v>
      </c>
      <c r="Q271" s="1761" t="s">
        <v>87</v>
      </c>
      <c r="R271" s="2136"/>
      <c r="S271" s="2136"/>
      <c r="T271" s="2135"/>
      <c r="U271" s="2135"/>
      <c r="V271" s="2135"/>
      <c r="W271" s="2135"/>
      <c r="X271" s="2135"/>
      <c r="Y271" s="2135"/>
      <c r="Z271" s="2135"/>
      <c r="AA271" s="2135"/>
      <c r="AB271" s="2135"/>
      <c r="AC271" s="2135"/>
      <c r="AD271" s="2135"/>
      <c r="AE271" s="2135"/>
      <c r="AF271" s="2135"/>
      <c r="AG271" s="2135"/>
      <c r="AH271" s="2135"/>
      <c r="AI271" s="2135"/>
      <c r="AJ271" s="2135"/>
      <c r="AK271" s="2135"/>
      <c r="AL271" s="2135"/>
      <c r="AM271" s="2135"/>
      <c r="AN271" s="2135"/>
    </row>
    <row r="272" spans="1:40" s="2114" customFormat="1" ht="21" hidden="1" customHeight="1">
      <c r="A272" s="2119"/>
      <c r="B272" s="2117"/>
      <c r="C272" s="2120"/>
      <c r="E272" s="2576" t="s">
        <v>2113</v>
      </c>
      <c r="F272" s="2123"/>
      <c r="G272" s="2441"/>
      <c r="H272" s="2442"/>
      <c r="I272" s="990"/>
      <c r="J272" s="990"/>
      <c r="K272" s="990"/>
      <c r="L272" s="990"/>
      <c r="M272" s="991"/>
      <c r="N272" s="2111"/>
      <c r="O272" s="2135"/>
      <c r="P272" s="2139"/>
      <c r="Q272" s="1761"/>
      <c r="R272" s="2136"/>
      <c r="S272" s="2136"/>
      <c r="T272" s="2135"/>
      <c r="U272" s="2139"/>
      <c r="V272" s="2135"/>
      <c r="W272" s="2135"/>
      <c r="X272" s="2135"/>
      <c r="Y272" s="2135"/>
      <c r="Z272" s="2135"/>
      <c r="AA272" s="2135"/>
      <c r="AB272" s="2135"/>
      <c r="AC272" s="2135"/>
      <c r="AD272" s="2135"/>
      <c r="AE272" s="2135"/>
      <c r="AF272" s="2135"/>
      <c r="AG272" s="2135"/>
      <c r="AH272" s="2135"/>
      <c r="AI272" s="2135"/>
      <c r="AJ272" s="2135"/>
      <c r="AK272" s="2135"/>
      <c r="AL272" s="2135"/>
      <c r="AM272" s="2135"/>
      <c r="AN272" s="2135"/>
    </row>
    <row r="274" spans="1:40" s="2109" customFormat="1" ht="16.5" hidden="1" customHeight="1" thickBot="1">
      <c r="A274" s="2108"/>
      <c r="D274" s="2518" t="s">
        <v>2028</v>
      </c>
      <c r="E274" s="2115"/>
      <c r="F274" s="2116"/>
      <c r="I274" s="2110"/>
      <c r="J274" s="2110"/>
      <c r="K274" s="2110"/>
      <c r="L274" s="148" t="s">
        <v>2</v>
      </c>
      <c r="M274" s="2508">
        <f>重み!M59</f>
        <v>0</v>
      </c>
      <c r="N274" s="2111"/>
      <c r="O274" s="2135">
        <f>C273</f>
        <v>0</v>
      </c>
      <c r="P274" s="2135">
        <f>D273</f>
        <v>0</v>
      </c>
      <c r="Q274" s="2135">
        <f t="shared" ref="Q274" si="20">E274</f>
        <v>0</v>
      </c>
      <c r="R274" s="2135">
        <f t="shared" ref="R274" si="21">F274</f>
        <v>0</v>
      </c>
      <c r="S274" s="2135">
        <f t="shared" ref="S274" si="22">G274</f>
        <v>0</v>
      </c>
      <c r="T274" s="2135">
        <f t="shared" ref="T274" si="23">H274</f>
        <v>0</v>
      </c>
      <c r="U274" s="2135">
        <f t="shared" ref="U274" si="24">I274</f>
        <v>0</v>
      </c>
      <c r="V274" s="2135">
        <f t="shared" ref="V274" si="25">J274</f>
        <v>0</v>
      </c>
      <c r="W274" s="2135">
        <f t="shared" ref="W274" si="26">K274</f>
        <v>0</v>
      </c>
      <c r="X274" s="2135" t="str">
        <f t="shared" ref="X274" si="27">L274</f>
        <v>重み係数＝</v>
      </c>
      <c r="Y274" s="2135">
        <f t="shared" ref="Y274" si="28">M274</f>
        <v>0</v>
      </c>
      <c r="Z274" s="2136"/>
      <c r="AA274" s="2136"/>
      <c r="AB274" s="2136"/>
      <c r="AC274" s="2136"/>
      <c r="AD274" s="2136"/>
      <c r="AE274" s="2136"/>
      <c r="AF274" s="2136"/>
      <c r="AG274" s="2136"/>
      <c r="AH274" s="2136"/>
      <c r="AI274" s="2136"/>
      <c r="AJ274" s="2136"/>
      <c r="AK274" s="2136"/>
      <c r="AL274" s="2136"/>
      <c r="AM274" s="2136"/>
      <c r="AN274" s="2136"/>
    </row>
    <row r="275" spans="1:40" ht="16.2" hidden="1" thickBot="1">
      <c r="A275" s="2"/>
      <c r="B275" s="137"/>
      <c r="C275" s="512"/>
      <c r="D275" s="865">
        <f>E282</f>
        <v>1</v>
      </c>
      <c r="E275" s="2934" t="s">
        <v>415</v>
      </c>
      <c r="F275" s="2935"/>
      <c r="G275" s="2935"/>
      <c r="H275" s="2935"/>
      <c r="I275" s="2935"/>
      <c r="J275" s="2935"/>
      <c r="K275" s="2935"/>
      <c r="L275" s="2935"/>
      <c r="M275" s="2936"/>
      <c r="N275" s="22"/>
      <c r="O275" s="121"/>
      <c r="P275" s="29"/>
      <c r="Q275" s="121"/>
      <c r="R275" s="29"/>
      <c r="S275" s="29"/>
      <c r="T275" s="29"/>
      <c r="U275" s="29"/>
      <c r="V275" s="29"/>
      <c r="W275" s="29"/>
      <c r="X275" s="29"/>
      <c r="Y275" s="29"/>
    </row>
    <row r="276" spans="1:40" hidden="1">
      <c r="A276" s="2"/>
      <c r="B276" s="137"/>
      <c r="C276" s="504"/>
      <c r="D276" s="25" t="str">
        <f>IF(D275=$Q$14,$R$9,IF(ROUNDDOWN(D275,0)=$Q$9,$S$9,$R$9))</f>
        <v>■レベル　1</v>
      </c>
      <c r="E276" s="2494" t="s">
        <v>1689</v>
      </c>
      <c r="F276" s="39"/>
      <c r="G276" s="39"/>
      <c r="H276" s="39"/>
      <c r="I276" s="39"/>
      <c r="J276" s="39"/>
      <c r="K276" s="39"/>
      <c r="L276" s="802"/>
      <c r="M276" s="803"/>
      <c r="N276" s="22"/>
      <c r="O276" s="2493" t="s">
        <v>1927</v>
      </c>
      <c r="P276" s="491">
        <v>1</v>
      </c>
      <c r="Q276" s="121"/>
      <c r="R276" s="29"/>
      <c r="S276" s="29"/>
      <c r="T276" s="29"/>
      <c r="U276" s="491">
        <f>$Q$9</f>
        <v>1</v>
      </c>
      <c r="V276" s="29"/>
      <c r="W276" s="29"/>
      <c r="X276" s="29"/>
      <c r="Y276" s="29"/>
    </row>
    <row r="277" spans="1:40" ht="16.5" hidden="1" customHeight="1">
      <c r="A277" s="2"/>
      <c r="B277" s="137"/>
      <c r="C277" s="504"/>
      <c r="D277" s="28" t="str">
        <f>IF(D275=$Q$14,$R$10,IF(ROUNDDOWN(D275,0)=$Q$10,$S$10,$R$10))</f>
        <v>　レベル　2</v>
      </c>
      <c r="E277" s="2495" t="s">
        <v>409</v>
      </c>
      <c r="F277" s="502"/>
      <c r="G277" s="502"/>
      <c r="H277" s="502"/>
      <c r="I277" s="502"/>
      <c r="J277" s="502"/>
      <c r="K277" s="502"/>
      <c r="L277" s="798"/>
      <c r="M277" s="799"/>
      <c r="N277" s="22"/>
      <c r="O277" s="121"/>
      <c r="P277" s="491" t="s">
        <v>55</v>
      </c>
      <c r="Q277" s="121"/>
      <c r="R277" s="29"/>
      <c r="S277" s="29"/>
      <c r="T277" s="29"/>
      <c r="U277" s="491">
        <f>$Q$10</f>
        <v>2</v>
      </c>
      <c r="V277" s="29"/>
      <c r="W277" s="29"/>
      <c r="X277" s="29"/>
      <c r="Y277" s="29"/>
      <c r="Z277" s="29"/>
    </row>
    <row r="278" spans="1:40" ht="16.5" hidden="1" customHeight="1">
      <c r="A278" s="2"/>
      <c r="B278" s="137"/>
      <c r="C278" s="504"/>
      <c r="D278" s="28" t="str">
        <f>IF(D275=$Q$14,$R$11,IF(ROUNDDOWN(D275,0)=$Q$11,$S$11,$R$11))</f>
        <v>　レベル　3</v>
      </c>
      <c r="E278" s="2496" t="s">
        <v>2029</v>
      </c>
      <c r="F278" s="489"/>
      <c r="G278" s="489"/>
      <c r="H278" s="489"/>
      <c r="I278" s="489"/>
      <c r="J278" s="489"/>
      <c r="K278" s="489"/>
      <c r="L278" s="798"/>
      <c r="M278" s="799"/>
      <c r="N278" s="22"/>
      <c r="O278" s="121"/>
      <c r="P278" s="491">
        <v>3</v>
      </c>
      <c r="Q278" s="121"/>
      <c r="R278" s="29"/>
      <c r="S278" s="29"/>
      <c r="T278" s="29"/>
      <c r="U278" s="491">
        <f>$Q$11</f>
        <v>3</v>
      </c>
      <c r="V278" s="29"/>
      <c r="W278" s="29"/>
      <c r="X278" s="29"/>
      <c r="Y278" s="29"/>
      <c r="Z278" s="29"/>
    </row>
    <row r="279" spans="1:40" ht="16.5" hidden="1" customHeight="1">
      <c r="A279" s="2"/>
      <c r="B279" s="137"/>
      <c r="C279" s="504"/>
      <c r="D279" s="28" t="str">
        <f>IF(D275=$Q$14,$R$12,IF(ROUNDDOWN(D275,0)=$Q$12,$S$12,$R$12))</f>
        <v>　レベル　4</v>
      </c>
      <c r="E279" s="2496" t="s">
        <v>2030</v>
      </c>
      <c r="F279" s="492"/>
      <c r="G279" s="492"/>
      <c r="H279" s="492"/>
      <c r="I279" s="492"/>
      <c r="J279" s="492"/>
      <c r="K279" s="492"/>
      <c r="L279" s="798"/>
      <c r="M279" s="799"/>
      <c r="N279" s="22"/>
      <c r="O279" s="121"/>
      <c r="P279" s="491">
        <v>4</v>
      </c>
      <c r="Q279" s="121"/>
      <c r="R279" s="29"/>
      <c r="S279" s="29"/>
      <c r="T279" s="29"/>
      <c r="U279" s="491">
        <f>$Q$12</f>
        <v>4</v>
      </c>
      <c r="V279" s="29"/>
      <c r="W279" s="29"/>
      <c r="X279" s="29"/>
      <c r="Y279" s="29"/>
      <c r="Z279" s="29"/>
    </row>
    <row r="280" spans="1:40" ht="16.5" hidden="1" customHeight="1">
      <c r="A280" s="2"/>
      <c r="B280" s="137"/>
      <c r="C280" s="504"/>
      <c r="D280" s="26" t="str">
        <f>IF(D275=$Q$14,$R$13,IF(ROUNDDOWN(D275,0)=$Q$13,$S$13,$R$13))</f>
        <v>　レベル　5</v>
      </c>
      <c r="E280" s="2497" t="s">
        <v>2031</v>
      </c>
      <c r="F280" s="494"/>
      <c r="G280" s="494"/>
      <c r="H280" s="494"/>
      <c r="I280" s="494"/>
      <c r="J280" s="494"/>
      <c r="K280" s="494"/>
      <c r="L280" s="800"/>
      <c r="M280" s="801"/>
      <c r="N280" s="22"/>
      <c r="O280" s="121"/>
      <c r="P280" s="491">
        <v>5</v>
      </c>
      <c r="Q280" s="121"/>
      <c r="R280" s="29"/>
      <c r="S280" s="29"/>
      <c r="T280" s="29"/>
      <c r="U280" s="491">
        <f>$Q$13</f>
        <v>5</v>
      </c>
      <c r="V280" s="29"/>
      <c r="W280" s="29"/>
      <c r="X280" s="29"/>
      <c r="Y280" s="29"/>
      <c r="Z280" s="29"/>
    </row>
    <row r="281" spans="1:40" ht="16.5" hidden="1" customHeight="1">
      <c r="A281" s="2"/>
      <c r="B281" s="137"/>
      <c r="C281" s="504"/>
      <c r="D281" s="506"/>
      <c r="E281" s="1325" t="s">
        <v>423</v>
      </c>
      <c r="F281" s="362"/>
      <c r="G281" s="362"/>
      <c r="H281" s="362"/>
      <c r="I281" s="500"/>
      <c r="J281" s="500"/>
      <c r="K281" s="500"/>
      <c r="L281" s="500"/>
      <c r="M281" s="500"/>
      <c r="N281" s="22"/>
      <c r="O281" s="121"/>
      <c r="P281" s="2143" t="s">
        <v>55</v>
      </c>
      <c r="Q281" s="284" t="s">
        <v>87</v>
      </c>
      <c r="R281" s="29"/>
      <c r="S281" s="29"/>
      <c r="T281" s="29"/>
      <c r="U281" s="491" t="str">
        <f>$Q$14</f>
        <v>対象外</v>
      </c>
      <c r="V281" s="29"/>
      <c r="W281" s="29"/>
      <c r="X281" s="29"/>
      <c r="Y281" s="29"/>
      <c r="Z281" s="29"/>
    </row>
    <row r="282" spans="1:40" ht="16.5" hidden="1" customHeight="1" thickBot="1">
      <c r="A282" s="2"/>
      <c r="B282" s="137"/>
      <c r="C282" s="504"/>
      <c r="D282" s="506"/>
      <c r="E282" s="2503">
        <f>ROUND(IF(E283=U3,IF(F297&gt;=3,5,IF(F297&gt;=2,4,3)),1),0)</f>
        <v>1</v>
      </c>
      <c r="F282" s="428" t="s">
        <v>78</v>
      </c>
      <c r="G282" s="2154" t="s">
        <v>80</v>
      </c>
      <c r="H282" s="447"/>
      <c r="I282" s="2154"/>
      <c r="J282" s="447"/>
      <c r="K282" s="447"/>
      <c r="L282" s="447"/>
      <c r="M282" s="448"/>
      <c r="N282" s="22"/>
      <c r="O282" s="121"/>
      <c r="P282" s="511"/>
      <c r="Q282" s="121"/>
      <c r="R282" s="29"/>
      <c r="S282" s="29"/>
      <c r="T282" s="29"/>
      <c r="U282" s="511"/>
      <c r="V282" s="29"/>
      <c r="W282" s="29"/>
      <c r="X282" s="29"/>
      <c r="Y282" s="29"/>
      <c r="Z282" s="29"/>
    </row>
    <row r="283" spans="1:40" hidden="1">
      <c r="A283" s="2"/>
      <c r="B283" s="137"/>
      <c r="C283" s="504"/>
      <c r="D283" s="506"/>
      <c r="E283" s="2953"/>
      <c r="F283" s="2984">
        <v>1</v>
      </c>
      <c r="G283" s="2532" t="s">
        <v>2046</v>
      </c>
      <c r="H283" s="2533"/>
      <c r="I283" s="2526" t="s">
        <v>2032</v>
      </c>
      <c r="J283" s="2524"/>
      <c r="K283" s="2524"/>
      <c r="L283" s="2524"/>
      <c r="M283" s="2525"/>
      <c r="N283" s="22"/>
      <c r="O283" s="121"/>
      <c r="P283" s="511"/>
      <c r="Q283" s="121"/>
      <c r="R283" s="29"/>
      <c r="S283" s="29"/>
      <c r="T283" s="29"/>
      <c r="U283" s="511"/>
      <c r="V283" s="29"/>
      <c r="W283" s="29"/>
      <c r="X283" s="29"/>
      <c r="Y283" s="29"/>
      <c r="Z283" s="29"/>
    </row>
    <row r="284" spans="1:40" hidden="1">
      <c r="A284" s="2"/>
      <c r="B284" s="137"/>
      <c r="C284" s="504"/>
      <c r="D284" s="506"/>
      <c r="E284" s="2954"/>
      <c r="F284" s="2974"/>
      <c r="G284" s="2530"/>
      <c r="H284" s="2531"/>
      <c r="I284" s="2527" t="s">
        <v>2033</v>
      </c>
      <c r="J284" s="2524"/>
      <c r="K284" s="2524"/>
      <c r="L284" s="2524"/>
      <c r="M284" s="2525"/>
      <c r="N284" s="22"/>
      <c r="O284" s="121"/>
      <c r="P284" s="511"/>
      <c r="Q284" s="121"/>
      <c r="R284" s="29"/>
      <c r="S284" s="29"/>
      <c r="T284" s="29"/>
      <c r="U284" s="511"/>
      <c r="V284" s="29"/>
      <c r="W284" s="29"/>
      <c r="X284" s="29"/>
      <c r="Y284" s="29"/>
      <c r="Z284" s="29"/>
    </row>
    <row r="285" spans="1:40" hidden="1">
      <c r="A285" s="2"/>
      <c r="B285" s="137"/>
      <c r="C285" s="504"/>
      <c r="D285" s="506"/>
      <c r="E285" s="2954"/>
      <c r="F285" s="2974"/>
      <c r="G285" s="2523" t="s">
        <v>2047</v>
      </c>
      <c r="H285" s="2534"/>
      <c r="I285" s="2527" t="s">
        <v>2034</v>
      </c>
      <c r="J285" s="2524"/>
      <c r="K285" s="2524"/>
      <c r="L285" s="2524"/>
      <c r="M285" s="2525"/>
      <c r="N285" s="22"/>
      <c r="O285" s="121"/>
      <c r="P285" s="511"/>
      <c r="Q285" s="121"/>
      <c r="R285" s="29"/>
      <c r="S285" s="29"/>
      <c r="T285" s="29"/>
      <c r="U285" s="511"/>
      <c r="V285" s="29"/>
      <c r="W285" s="29"/>
      <c r="X285" s="29"/>
      <c r="Y285" s="29"/>
      <c r="Z285" s="29"/>
    </row>
    <row r="286" spans="1:40" ht="16.2" hidden="1" thickBot="1">
      <c r="A286" s="2"/>
      <c r="B286" s="137"/>
      <c r="C286" s="504"/>
      <c r="D286" s="506"/>
      <c r="E286" s="2955"/>
      <c r="F286" s="2985"/>
      <c r="G286" s="2530"/>
      <c r="H286" s="2531"/>
      <c r="I286" s="2527" t="s">
        <v>2035</v>
      </c>
      <c r="J286" s="2524"/>
      <c r="K286" s="2524"/>
      <c r="L286" s="2524"/>
      <c r="M286" s="2525"/>
      <c r="N286" s="22"/>
      <c r="O286" s="121"/>
      <c r="P286" s="511"/>
      <c r="Q286" s="121"/>
      <c r="R286" s="29"/>
      <c r="S286" s="29"/>
      <c r="T286" s="29"/>
      <c r="U286" s="511"/>
      <c r="V286" s="29"/>
      <c r="W286" s="29"/>
      <c r="X286" s="29"/>
      <c r="Y286" s="29"/>
      <c r="Z286" s="29"/>
    </row>
    <row r="287" spans="1:40" hidden="1">
      <c r="A287" s="2"/>
      <c r="B287" s="137"/>
      <c r="C287" s="504"/>
      <c r="D287" s="506"/>
      <c r="E287" s="2953"/>
      <c r="F287" s="2973">
        <v>2</v>
      </c>
      <c r="G287" s="2523" t="s">
        <v>2048</v>
      </c>
      <c r="H287" s="2524"/>
      <c r="I287" s="2527" t="s">
        <v>2036</v>
      </c>
      <c r="J287" s="2524"/>
      <c r="K287" s="2524"/>
      <c r="L287" s="2524"/>
      <c r="M287" s="2525"/>
      <c r="N287" s="22"/>
      <c r="O287" s="121"/>
      <c r="P287" s="511"/>
      <c r="Q287" s="121"/>
      <c r="R287" s="29"/>
      <c r="S287" s="29"/>
      <c r="T287" s="29"/>
      <c r="U287" s="511"/>
      <c r="V287" s="29"/>
      <c r="W287" s="29"/>
      <c r="X287" s="29"/>
      <c r="Y287" s="29"/>
      <c r="Z287" s="29"/>
    </row>
    <row r="288" spans="1:40" hidden="1">
      <c r="A288" s="2"/>
      <c r="B288" s="137"/>
      <c r="C288" s="504"/>
      <c r="D288" s="506"/>
      <c r="E288" s="2954"/>
      <c r="F288" s="2974"/>
      <c r="G288" s="2530"/>
      <c r="H288" s="2536"/>
      <c r="I288" s="2527" t="s">
        <v>2037</v>
      </c>
      <c r="J288" s="2524"/>
      <c r="K288" s="2524"/>
      <c r="L288" s="2524"/>
      <c r="M288" s="2525"/>
      <c r="N288" s="22"/>
      <c r="O288" s="121"/>
      <c r="P288" s="511"/>
      <c r="Q288" s="121"/>
      <c r="R288" s="29"/>
      <c r="S288" s="29"/>
      <c r="T288" s="29"/>
      <c r="U288" s="511"/>
      <c r="V288" s="29"/>
      <c r="W288" s="29"/>
      <c r="X288" s="29"/>
      <c r="Y288" s="29"/>
      <c r="Z288" s="29"/>
    </row>
    <row r="289" spans="1:26" ht="16.2" hidden="1" thickBot="1">
      <c r="A289" s="2"/>
      <c r="B289" s="137"/>
      <c r="C289" s="504"/>
      <c r="D289" s="506"/>
      <c r="E289" s="2955"/>
      <c r="F289" s="2974"/>
      <c r="G289" s="2535"/>
      <c r="H289" s="2519"/>
      <c r="I289" s="2528" t="s">
        <v>2038</v>
      </c>
      <c r="J289" s="2498"/>
      <c r="K289" s="2498"/>
      <c r="L289" s="2498"/>
      <c r="M289" s="2499"/>
      <c r="N289" s="22"/>
      <c r="O289" s="121"/>
      <c r="P289" s="511"/>
      <c r="Q289" s="121"/>
      <c r="R289" s="29"/>
      <c r="S289" s="29"/>
      <c r="T289" s="29"/>
      <c r="U289" s="511"/>
      <c r="V289" s="29"/>
      <c r="W289" s="29"/>
      <c r="X289" s="29"/>
      <c r="Y289" s="29"/>
      <c r="Z289" s="29"/>
    </row>
    <row r="290" spans="1:26" hidden="1">
      <c r="A290" s="2"/>
      <c r="B290" s="137"/>
      <c r="C290" s="504"/>
      <c r="D290" s="506"/>
      <c r="E290" s="2953" t="s">
        <v>687</v>
      </c>
      <c r="F290" s="2974"/>
      <c r="G290" s="2500" t="s">
        <v>2049</v>
      </c>
      <c r="H290" s="2537"/>
      <c r="I290" s="2528" t="s">
        <v>2039</v>
      </c>
      <c r="J290" s="2498"/>
      <c r="K290" s="2498"/>
      <c r="L290" s="2498"/>
      <c r="M290" s="2499"/>
      <c r="N290" s="22"/>
      <c r="O290" s="121"/>
      <c r="P290" s="511"/>
      <c r="Q290" s="121"/>
      <c r="R290" s="29"/>
      <c r="S290" s="29"/>
      <c r="T290" s="29"/>
      <c r="U290" s="511"/>
      <c r="V290" s="29"/>
      <c r="W290" s="29"/>
      <c r="X290" s="29"/>
      <c r="Y290" s="29"/>
      <c r="Z290" s="29"/>
    </row>
    <row r="291" spans="1:26" ht="16.2" hidden="1" thickBot="1">
      <c r="A291" s="2"/>
      <c r="B291" s="137"/>
      <c r="C291" s="504"/>
      <c r="D291" s="506"/>
      <c r="E291" s="2955"/>
      <c r="F291" s="2974"/>
      <c r="G291" s="2530"/>
      <c r="H291" s="2531"/>
      <c r="I291" s="2527" t="s">
        <v>2040</v>
      </c>
      <c r="J291" s="2524"/>
      <c r="K291" s="2524"/>
      <c r="L291" s="2524"/>
      <c r="M291" s="2525"/>
      <c r="N291" s="22"/>
      <c r="O291" s="121"/>
      <c r="P291" s="511"/>
      <c r="Q291" s="121"/>
      <c r="R291" s="29"/>
      <c r="S291" s="29"/>
      <c r="T291" s="29"/>
      <c r="U291" s="511"/>
      <c r="V291" s="29"/>
      <c r="W291" s="29"/>
      <c r="X291" s="29"/>
      <c r="Y291" s="29"/>
      <c r="Z291" s="29"/>
    </row>
    <row r="292" spans="1:26" hidden="1">
      <c r="A292" s="2"/>
      <c r="B292" s="137"/>
      <c r="C292" s="504"/>
      <c r="D292" s="506"/>
      <c r="E292" s="2953" t="s">
        <v>687</v>
      </c>
      <c r="F292" s="2974"/>
      <c r="G292" s="2523" t="s">
        <v>2050</v>
      </c>
      <c r="H292" s="2534"/>
      <c r="I292" s="2527" t="s">
        <v>2041</v>
      </c>
      <c r="J292" s="2524"/>
      <c r="K292" s="2524"/>
      <c r="L292" s="2524"/>
      <c r="M292" s="2525"/>
      <c r="N292" s="22"/>
      <c r="O292" s="121"/>
      <c r="P292" s="511"/>
      <c r="Q292" s="121"/>
      <c r="R292" s="29"/>
      <c r="S292" s="29"/>
      <c r="T292" s="29"/>
      <c r="U292" s="511"/>
      <c r="V292" s="29"/>
      <c r="W292" s="29"/>
      <c r="X292" s="29"/>
      <c r="Y292" s="29"/>
      <c r="Z292" s="29"/>
    </row>
    <row r="293" spans="1:26" ht="16.2" hidden="1" thickBot="1">
      <c r="A293" s="2"/>
      <c r="B293" s="137"/>
      <c r="C293" s="504"/>
      <c r="D293" s="506"/>
      <c r="E293" s="2955"/>
      <c r="F293" s="2974"/>
      <c r="G293" s="2530"/>
      <c r="H293" s="2531"/>
      <c r="I293" s="2527" t="s">
        <v>2042</v>
      </c>
      <c r="J293" s="2524"/>
      <c r="K293" s="2524"/>
      <c r="L293" s="2524"/>
      <c r="M293" s="2525"/>
      <c r="N293" s="22"/>
      <c r="O293" s="121"/>
      <c r="P293" s="511"/>
      <c r="Q293" s="121"/>
      <c r="R293" s="29"/>
      <c r="S293" s="29"/>
      <c r="T293" s="29"/>
      <c r="U293" s="511"/>
      <c r="V293" s="29"/>
      <c r="W293" s="29"/>
      <c r="X293" s="29"/>
      <c r="Y293" s="29"/>
      <c r="Z293" s="29"/>
    </row>
    <row r="294" spans="1:26" hidden="1">
      <c r="A294" s="2"/>
      <c r="B294" s="137"/>
      <c r="C294" s="504"/>
      <c r="D294" s="506"/>
      <c r="E294" s="2953" t="s">
        <v>687</v>
      </c>
      <c r="F294" s="2974"/>
      <c r="G294" s="2500" t="s">
        <v>2051</v>
      </c>
      <c r="H294" s="2537"/>
      <c r="I294" s="2528" t="s">
        <v>2043</v>
      </c>
      <c r="J294" s="2498"/>
      <c r="K294" s="2498"/>
      <c r="L294" s="2498"/>
      <c r="M294" s="2499"/>
      <c r="N294" s="22"/>
      <c r="O294" s="121"/>
      <c r="P294" s="511"/>
      <c r="Q294" s="121"/>
      <c r="R294" s="29"/>
      <c r="S294" s="29"/>
      <c r="T294" s="29"/>
      <c r="U294" s="511"/>
      <c r="V294" s="29"/>
      <c r="W294" s="29"/>
      <c r="X294" s="29"/>
      <c r="Y294" s="29"/>
      <c r="Z294" s="29"/>
    </row>
    <row r="295" spans="1:26" hidden="1">
      <c r="A295" s="2"/>
      <c r="B295" s="137"/>
      <c r="C295" s="504"/>
      <c r="D295" s="506"/>
      <c r="E295" s="2954"/>
      <c r="F295" s="2974"/>
      <c r="G295" s="2535"/>
      <c r="H295" s="2540"/>
      <c r="I295" s="2528" t="s">
        <v>2044</v>
      </c>
      <c r="J295" s="2498"/>
      <c r="K295" s="2498"/>
      <c r="L295" s="2498"/>
      <c r="M295" s="2499"/>
      <c r="N295" s="22"/>
      <c r="O295" s="121"/>
      <c r="P295" s="511"/>
      <c r="Q295" s="121"/>
      <c r="R295" s="29"/>
      <c r="S295" s="29"/>
      <c r="T295" s="29"/>
      <c r="U295" s="511"/>
      <c r="V295" s="29"/>
      <c r="W295" s="29"/>
      <c r="X295" s="29"/>
      <c r="Y295" s="29"/>
      <c r="Z295" s="29"/>
    </row>
    <row r="296" spans="1:26" ht="16.2" hidden="1" thickBot="1">
      <c r="A296" s="2"/>
      <c r="B296" s="137"/>
      <c r="C296" s="504"/>
      <c r="D296" s="506"/>
      <c r="E296" s="2955"/>
      <c r="F296" s="2975"/>
      <c r="G296" s="2538"/>
      <c r="H296" s="2539"/>
      <c r="I296" s="2529" t="s">
        <v>2045</v>
      </c>
      <c r="J296" s="2501"/>
      <c r="K296" s="2501"/>
      <c r="L296" s="2501"/>
      <c r="M296" s="2502"/>
      <c r="N296" s="22"/>
      <c r="O296" s="121"/>
      <c r="P296" s="511"/>
      <c r="Q296" s="121"/>
      <c r="R296" s="29"/>
      <c r="S296" s="29"/>
      <c r="T296" s="29"/>
      <c r="U296" s="511"/>
      <c r="V296" s="29"/>
      <c r="W296" s="29"/>
      <c r="X296" s="29"/>
      <c r="Y296" s="29"/>
      <c r="Z296" s="29"/>
    </row>
    <row r="297" spans="1:26" hidden="1">
      <c r="A297" s="2"/>
      <c r="B297" s="137"/>
      <c r="C297" s="504"/>
      <c r="D297" s="506"/>
      <c r="E297" s="497" t="s">
        <v>250</v>
      </c>
      <c r="F297" s="838">
        <f>COUNTIF(E287:E296,"○")</f>
        <v>3</v>
      </c>
      <c r="G297" s="845"/>
      <c r="H297" s="845"/>
      <c r="I297" s="118"/>
      <c r="J297" s="405"/>
      <c r="K297" s="118"/>
      <c r="L297" s="405"/>
      <c r="M297" s="2155"/>
      <c r="N297" s="22"/>
      <c r="O297" s="121"/>
      <c r="P297" s="511"/>
      <c r="Q297" s="121"/>
      <c r="R297" s="29"/>
      <c r="S297" s="29"/>
      <c r="T297" s="29"/>
      <c r="U297" s="511"/>
      <c r="V297" s="29"/>
      <c r="W297" s="29"/>
      <c r="X297" s="29"/>
      <c r="Y297" s="29"/>
      <c r="Z297" s="29"/>
    </row>
    <row r="298" spans="1:26" ht="9" hidden="1" customHeight="1">
      <c r="A298" s="2"/>
      <c r="B298" s="137"/>
      <c r="C298" s="137"/>
      <c r="D298" s="137"/>
      <c r="E298" s="137"/>
      <c r="F298" s="137"/>
      <c r="G298" s="137"/>
      <c r="H298" s="137"/>
      <c r="I298" s="137"/>
      <c r="J298" s="137"/>
      <c r="K298" s="137"/>
      <c r="L298" s="137"/>
      <c r="M298" s="137"/>
      <c r="N298" s="137"/>
      <c r="O298" s="121"/>
      <c r="P298" s="511"/>
      <c r="Q298" s="121"/>
      <c r="R298" s="29"/>
      <c r="S298" s="29"/>
      <c r="T298" s="29"/>
      <c r="U298" s="511"/>
      <c r="V298" s="29"/>
      <c r="W298" s="29"/>
      <c r="X298" s="29"/>
      <c r="Y298" s="29"/>
      <c r="Z298" s="29"/>
    </row>
    <row r="299" spans="1:26" s="29" customFormat="1" ht="21" hidden="1" customHeight="1">
      <c r="A299" s="19"/>
      <c r="B299" s="137"/>
      <c r="C299" s="504"/>
      <c r="E299" s="646" t="s">
        <v>3</v>
      </c>
      <c r="F299" s="647"/>
      <c r="G299" s="2441"/>
      <c r="H299" s="2442"/>
      <c r="I299" s="990"/>
      <c r="J299" s="990"/>
      <c r="K299" s="990"/>
      <c r="L299" s="990"/>
      <c r="M299" s="991"/>
      <c r="N299" s="22"/>
      <c r="P299" s="511"/>
      <c r="Q299" s="284"/>
      <c r="R299" s="4"/>
      <c r="S299" s="4"/>
      <c r="T299" s="113"/>
      <c r="U299" s="511"/>
      <c r="V299" s="113"/>
      <c r="W299" s="113"/>
      <c r="X299" s="113"/>
      <c r="Y299" s="113"/>
    </row>
    <row r="301" spans="1:26"/>
    <row r="302" spans="1:26"/>
    <row r="303" spans="1:26"/>
    <row r="304" spans="1:26"/>
    <row r="305"/>
    <row r="306"/>
    <row r="307"/>
    <row r="308"/>
    <row r="309"/>
    <row r="310"/>
    <row r="311"/>
    <row r="312"/>
    <row r="313"/>
    <row r="314"/>
    <row r="315"/>
    <row r="316"/>
  </sheetData>
  <sheetProtection algorithmName="SHA-512" hashValue="MYez+oALHbxaTl/cF9CGcani2Edwuhv4IZm0T+P4QguTJVK+F466KDM1+L4wkuyP4Me2NJuoRzE30mRryr7udA==" saltValue="nZCtaPEOUgD2rEmvBs7Vcg==" spinCount="100000" sheet="1" objects="1" scenarios="1"/>
  <mergeCells count="58">
    <mergeCell ref="D195:D196"/>
    <mergeCell ref="H136:M136"/>
    <mergeCell ref="H137:M137"/>
    <mergeCell ref="G182:M182"/>
    <mergeCell ref="G185:M185"/>
    <mergeCell ref="G186:M186"/>
    <mergeCell ref="E195:M195"/>
    <mergeCell ref="E152:E155"/>
    <mergeCell ref="F152:F155"/>
    <mergeCell ref="E156:E157"/>
    <mergeCell ref="F156:F157"/>
    <mergeCell ref="G156:H157"/>
    <mergeCell ref="E35:M35"/>
    <mergeCell ref="E73:M73"/>
    <mergeCell ref="E84:M84"/>
    <mergeCell ref="E104:M104"/>
    <mergeCell ref="G43:H43"/>
    <mergeCell ref="G44:H44"/>
    <mergeCell ref="K43:M43"/>
    <mergeCell ref="K44:M44"/>
    <mergeCell ref="E53:M53"/>
    <mergeCell ref="E94:M94"/>
    <mergeCell ref="E8:M8"/>
    <mergeCell ref="E19:M19"/>
    <mergeCell ref="G26:M26"/>
    <mergeCell ref="G27:M27"/>
    <mergeCell ref="E12:M12"/>
    <mergeCell ref="E13:M13"/>
    <mergeCell ref="E114:M114"/>
    <mergeCell ref="E257:M257"/>
    <mergeCell ref="E260:M260"/>
    <mergeCell ref="G228:M228"/>
    <mergeCell ref="G229:M229"/>
    <mergeCell ref="E127:M127"/>
    <mergeCell ref="E175:M175"/>
    <mergeCell ref="E221:M221"/>
    <mergeCell ref="F134:F135"/>
    <mergeCell ref="F136:F137"/>
    <mergeCell ref="G152:G155"/>
    <mergeCell ref="H152:H154"/>
    <mergeCell ref="G151:H151"/>
    <mergeCell ref="G158:H158"/>
    <mergeCell ref="E164:M164"/>
    <mergeCell ref="E294:E296"/>
    <mergeCell ref="F287:F296"/>
    <mergeCell ref="E275:M275"/>
    <mergeCell ref="E169:M169"/>
    <mergeCell ref="E241:M241"/>
    <mergeCell ref="G248:M248"/>
    <mergeCell ref="G249:M249"/>
    <mergeCell ref="G250:M250"/>
    <mergeCell ref="E261:M261"/>
    <mergeCell ref="E262:M262"/>
    <mergeCell ref="E283:E286"/>
    <mergeCell ref="F283:F286"/>
    <mergeCell ref="E287:E289"/>
    <mergeCell ref="E290:E291"/>
    <mergeCell ref="E292:E293"/>
  </mergeCells>
  <phoneticPr fontId="4"/>
  <conditionalFormatting sqref="D8 D18:D19 D73 D84 D104 D127 D257">
    <cfRule type="expression" dxfId="137" priority="106" stopIfTrue="1">
      <formula>M7&gt;0</formula>
    </cfRule>
  </conditionalFormatting>
  <conditionalFormatting sqref="D8 D19 D73 D84 D104 D127 D257">
    <cfRule type="expression" dxfId="136" priority="105" stopIfTrue="1">
      <formula>AND(OR(D8&lt;1,D8&gt;5),D8&lt;&gt;P14)</formula>
    </cfRule>
  </conditionalFormatting>
  <conditionalFormatting sqref="D18">
    <cfRule type="expression" dxfId="135" priority="256" stopIfTrue="1">
      <formula>AND(OR(D18&lt;1,D18&gt;5),D18&lt;&gt;U8)</formula>
    </cfRule>
  </conditionalFormatting>
  <conditionalFormatting sqref="D34:D35">
    <cfRule type="expression" dxfId="134" priority="112" stopIfTrue="1">
      <formula>AND(OR(D34&lt;1,D34&gt;5),D34&lt;&gt;U24)</formula>
    </cfRule>
    <cfRule type="expression" dxfId="133" priority="113" stopIfTrue="1">
      <formula>M33&gt;0</formula>
    </cfRule>
  </conditionalFormatting>
  <conditionalFormatting sqref="D52">
    <cfRule type="expression" dxfId="132" priority="17" stopIfTrue="1">
      <formula>AND(OR(D52&lt;1,D52&gt;5),D52&lt;&gt;U41)</formula>
    </cfRule>
    <cfRule type="expression" dxfId="131" priority="18" stopIfTrue="1">
      <formula>M50&gt;0</formula>
    </cfRule>
  </conditionalFormatting>
  <conditionalFormatting sqref="D53">
    <cfRule type="expression" dxfId="130" priority="19" stopIfTrue="1">
      <formula>AND(OR(D53&lt;1,D53&gt;5),D53&lt;&gt;P59)</formula>
    </cfRule>
    <cfRule type="expression" dxfId="129" priority="20" stopIfTrue="1">
      <formula>M52&gt;0</formula>
    </cfRule>
  </conditionalFormatting>
  <conditionalFormatting sqref="D94">
    <cfRule type="expression" dxfId="128" priority="15" stopIfTrue="1">
      <formula>AND(OR(D94&lt;1,D94&gt;5),D94&lt;&gt;P100)</formula>
    </cfRule>
    <cfRule type="expression" dxfId="127" priority="16" stopIfTrue="1">
      <formula>M93&gt;0</formula>
    </cfRule>
  </conditionalFormatting>
  <conditionalFormatting sqref="D114">
    <cfRule type="expression" dxfId="126" priority="13" stopIfTrue="1">
      <formula>AND(OR(D114&lt;1,D114&gt;5),D114&lt;&gt;P120)</formula>
    </cfRule>
    <cfRule type="expression" dxfId="125" priority="14" stopIfTrue="1">
      <formula>M113&gt;0</formula>
    </cfRule>
  </conditionalFormatting>
  <conditionalFormatting sqref="D126">
    <cfRule type="expression" dxfId="124" priority="260" stopIfTrue="1">
      <formula>#REF!&gt;0</formula>
    </cfRule>
    <cfRule type="expression" dxfId="123" priority="244" stopIfTrue="1">
      <formula>AND(OR(D126&lt;1,D126&gt;5),D126&lt;&gt;U105)</formula>
    </cfRule>
  </conditionalFormatting>
  <conditionalFormatting sqref="D164">
    <cfRule type="expression" dxfId="122" priority="10" stopIfTrue="1">
      <formula>AND(OR(D164&lt;1,D164&gt;5),D164&lt;&gt;P170)</formula>
    </cfRule>
    <cfRule type="expression" dxfId="121" priority="11" stopIfTrue="1">
      <formula>M163&gt;0</formula>
    </cfRule>
  </conditionalFormatting>
  <conditionalFormatting sqref="D194">
    <cfRule type="expression" dxfId="120" priority="128" stopIfTrue="1">
      <formula>AND(OR(D194&lt;1,D194&gt;5),D194&lt;&gt;U182)</formula>
    </cfRule>
    <cfRule type="expression" dxfId="119" priority="129" stopIfTrue="1">
      <formula>M192&gt;0</formula>
    </cfRule>
  </conditionalFormatting>
  <conditionalFormatting sqref="D195">
    <cfRule type="expression" dxfId="118" priority="107" stopIfTrue="1">
      <formula>AND(OR(D195&lt;1,D195&gt;5),D195&lt;&gt;#REF!)</formula>
    </cfRule>
    <cfRule type="expression" dxfId="117" priority="108" stopIfTrue="1">
      <formula>M194&gt;0</formula>
    </cfRule>
  </conditionalFormatting>
  <conditionalFormatting sqref="D196">
    <cfRule type="expression" dxfId="116" priority="111" stopIfTrue="1">
      <formula>H195&gt;0</formula>
    </cfRule>
    <cfRule type="expression" dxfId="115" priority="110" stopIfTrue="1">
      <formula>AND(OR(D196&lt;1,D196&gt;5),D196&lt;&gt;P218)</formula>
    </cfRule>
  </conditionalFormatting>
  <conditionalFormatting sqref="D220">
    <cfRule type="expression" dxfId="114" priority="251" stopIfTrue="1">
      <formula>AND(OR(D220&lt;1,D220&gt;5),D220&lt;&gt;U138)</formula>
    </cfRule>
    <cfRule type="expression" dxfId="113" priority="252" stopIfTrue="1">
      <formula>M218&gt;0</formula>
    </cfRule>
  </conditionalFormatting>
  <conditionalFormatting sqref="D221">
    <cfRule type="expression" dxfId="112" priority="216" stopIfTrue="1">
      <formula>AND(OR(D221&lt;1,D221&gt;5),D221&lt;&gt;P235)</formula>
    </cfRule>
    <cfRule type="expression" dxfId="111" priority="217" stopIfTrue="1">
      <formula>M220&gt;0</formula>
    </cfRule>
  </conditionalFormatting>
  <conditionalFormatting sqref="D240">
    <cfRule type="expression" dxfId="110" priority="8" stopIfTrue="1">
      <formula>AND(OR(D240&lt;1,D240&gt;5),D240&lt;&gt;U157)</formula>
    </cfRule>
    <cfRule type="expression" dxfId="109" priority="9" stopIfTrue="1">
      <formula>M238&gt;0</formula>
    </cfRule>
  </conditionalFormatting>
  <conditionalFormatting sqref="D241">
    <cfRule type="expression" dxfId="108" priority="253" stopIfTrue="1">
      <formula>AND(OR(D241&lt;1,D241&gt;5),D241&lt;&gt;P252)</formula>
    </cfRule>
    <cfRule type="expression" dxfId="107" priority="254" stopIfTrue="1">
      <formula>M240&gt;0</formula>
    </cfRule>
  </conditionalFormatting>
  <conditionalFormatting sqref="E26:E28 E209:E212">
    <cfRule type="expression" dxfId="106" priority="122" stopIfTrue="1">
      <formula>$M$7&gt;0</formula>
    </cfRule>
  </conditionalFormatting>
  <conditionalFormatting sqref="E42">
    <cfRule type="expression" dxfId="105" priority="109" stopIfTrue="1">
      <formula>M34&gt;0</formula>
    </cfRule>
  </conditionalFormatting>
  <conditionalFormatting sqref="E43:E44 E134:E137 E228:E233">
    <cfRule type="expression" dxfId="104" priority="121" stopIfTrue="1">
      <formula>$M$34&gt;0</formula>
    </cfRule>
  </conditionalFormatting>
  <conditionalFormatting sqref="E45:E46">
    <cfRule type="expression" dxfId="103" priority="124" stopIfTrue="1">
      <formula>AND($M$34&gt;0,$E$42=$Q$42)</formula>
    </cfRule>
  </conditionalFormatting>
  <conditionalFormatting sqref="E61:E66">
    <cfRule type="expression" dxfId="102" priority="21" stopIfTrue="1">
      <formula>$M$7&gt;0</formula>
    </cfRule>
  </conditionalFormatting>
  <conditionalFormatting sqref="E151:E152 E156 E158">
    <cfRule type="expression" dxfId="101" priority="12" stopIfTrue="1">
      <formula>$M$7&gt;0</formula>
    </cfRule>
  </conditionalFormatting>
  <conditionalFormatting sqref="E183:E186">
    <cfRule type="expression" dxfId="100" priority="123" stopIfTrue="1">
      <formula>$M$174&gt;0</formula>
    </cfRule>
  </conditionalFormatting>
  <conditionalFormatting sqref="E248:E250">
    <cfRule type="expression" dxfId="99" priority="5" stopIfTrue="1">
      <formula>$M$34&gt;0</formula>
    </cfRule>
  </conditionalFormatting>
  <conditionalFormatting sqref="E283 E287 E290 E292 E294">
    <cfRule type="expression" dxfId="98" priority="1" stopIfTrue="1">
      <formula>$M$7&gt;0</formula>
    </cfRule>
  </conditionalFormatting>
  <dataValidations count="8">
    <dataValidation type="list" allowBlank="1" showInputMessage="1" sqref="D35" xr:uid="{765BD17F-8445-4C60-89F9-84C5F4375C27}">
      <formula1>$P$20:$P$25</formula1>
    </dataValidation>
    <dataValidation type="list" allowBlank="1" showInputMessage="1" sqref="D8 D19 D127 D73 D84 D104 D257 D53 D94 D114 D164 D221" xr:uid="{3167FC06-A29B-4E43-9A0F-109F959021DB}">
      <formula1>P9:P14</formula1>
    </dataValidation>
    <dataValidation type="textLength" operator="lessThanOrEqual" allowBlank="1" showInputMessage="1" showErrorMessage="1" sqref="F236:F237 F15 F91 F31 F49 F80 F189 F215:F216 F140 F111 F69 F101 F121 F161 F171 F253 F299 F264 F272" xr:uid="{D88F2452-766D-445D-9D33-9033634614E6}">
      <formula1>30</formula1>
    </dataValidation>
    <dataValidation type="list" allowBlank="1" showInputMessage="1" showErrorMessage="1" sqref="D195:D196" xr:uid="{81EA8D87-101D-4F26-91F1-0D710F366864}">
      <formula1>$P$197:$P$202</formula1>
    </dataValidation>
    <dataValidation type="list" allowBlank="1" showInputMessage="1" showErrorMessage="1" sqref="E209:E212 E26:E28 E43:E46 E134:E137 E183:E186 E228:E233 E61:E66 E156 E158 E151:E152 E248:E250 E283 E287 E290 E292 E294" xr:uid="{AF2E3F14-8033-429B-8205-CB92044F380F}">
      <formula1>$U$3:$U$4</formula1>
    </dataValidation>
    <dataValidation allowBlank="1" showInputMessage="1" sqref="D194 D34 D18 D126 D220 D52 D240" xr:uid="{1683B1FE-5E02-47C7-92A6-F72083AC98C8}"/>
    <dataValidation type="list" allowBlank="1" showInputMessage="1" showErrorMessage="1" sqref="E42" xr:uid="{184C3E22-4CB9-45CF-932E-1955F62A576A}">
      <formula1>$P$42:$Q$42</formula1>
    </dataValidation>
    <dataValidation type="list" allowBlank="1" showInputMessage="1" sqref="D241" xr:uid="{7F917063-F41D-4C94-BC91-DE3E1A5ACB1A}">
      <formula1>P242:P252</formula1>
    </dataValidation>
  </dataValidations>
  <printOptions horizontalCentered="1"/>
  <pageMargins left="0.78740157480314965" right="0.78740157480314965" top="0.78740157480314965" bottom="0.78740157480314965" header="0.51181102362204722" footer="0.51181102362204722"/>
  <pageSetup paperSize="9" scale="71" fitToHeight="0" orientation="portrait" horizontalDpi="4294967293" verticalDpi="4294967293" r:id="rId1"/>
  <headerFooter alignWithMargins="0">
    <oddHeader>&amp;L&amp;F&amp;R&amp;A</oddHeader>
    <oddFooter>&amp;C&amp;P/&amp;N</oddFooter>
  </headerFooter>
  <rowBreaks count="2" manualBreakCount="2">
    <brk id="70" max="13" man="1"/>
    <brk id="172" max="1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Y120"/>
  <sheetViews>
    <sheetView showGridLines="0" topLeftCell="A86" zoomScaleNormal="100" workbookViewId="0">
      <selection activeCell="E20" sqref="E20:E21"/>
    </sheetView>
  </sheetViews>
  <sheetFormatPr defaultColWidth="0" defaultRowHeight="13.2"/>
  <cols>
    <col min="1" max="1" width="1.33203125" customWidth="1"/>
    <col min="2" max="2" width="4.77734375" customWidth="1"/>
    <col min="3" max="3" width="1.44140625" customWidth="1"/>
    <col min="4" max="13" width="11.6640625" customWidth="1"/>
    <col min="14" max="14" width="1.77734375" customWidth="1"/>
    <col min="15" max="15" width="3.77734375" hidden="1" customWidth="1"/>
    <col min="16" max="16" width="17.6640625" hidden="1" customWidth="1"/>
    <col min="17" max="17" width="5.109375" hidden="1" customWidth="1"/>
    <col min="18" max="18" width="9.109375" hidden="1" customWidth="1"/>
    <col min="19" max="19" width="9.6640625" hidden="1" customWidth="1"/>
    <col min="20" max="20" width="5.6640625" hidden="1" customWidth="1"/>
    <col min="21" max="21" width="6" hidden="1" customWidth="1"/>
    <col min="22" max="22" width="8.77734375" hidden="1" customWidth="1"/>
    <col min="23" max="23" width="3.44140625" hidden="1" customWidth="1"/>
    <col min="24" max="24" width="8.88671875" hidden="1" customWidth="1"/>
    <col min="25" max="25" width="10.44140625" hidden="1" customWidth="1"/>
    <col min="26" max="16384" width="8.88671875" hidden="1"/>
  </cols>
  <sheetData>
    <row r="1" spans="1:25" s="29" customFormat="1" ht="22.5" customHeight="1">
      <c r="A1" s="19"/>
      <c r="B1" s="137"/>
      <c r="C1" s="22"/>
      <c r="D1" s="129"/>
      <c r="E1" s="19"/>
      <c r="F1" s="19"/>
      <c r="G1" s="19"/>
      <c r="H1" s="19"/>
      <c r="I1" s="19"/>
      <c r="J1" s="19"/>
      <c r="K1" s="861" t="s">
        <v>362</v>
      </c>
      <c r="L1" s="862" t="str">
        <f>IF(メイン!$C$10="","",メイン!$C$10)</f>
        <v>あおもりGX</v>
      </c>
      <c r="M1" s="863"/>
      <c r="N1" s="22"/>
      <c r="O1" s="121"/>
      <c r="P1" s="121"/>
      <c r="Q1" s="121"/>
    </row>
    <row r="2" spans="1:25" s="29" customFormat="1" ht="9" customHeight="1" thickBot="1">
      <c r="A2" s="19"/>
      <c r="B2" s="137"/>
      <c r="C2" s="22"/>
      <c r="D2" s="129"/>
      <c r="E2" s="19"/>
      <c r="F2" s="19"/>
      <c r="G2" s="19"/>
      <c r="H2" s="19"/>
      <c r="I2" s="19"/>
      <c r="J2" s="19"/>
      <c r="K2" s="860"/>
      <c r="L2" s="317"/>
      <c r="M2" s="19"/>
      <c r="N2" s="22"/>
      <c r="O2" s="121"/>
      <c r="P2" s="121"/>
      <c r="Q2" s="121"/>
    </row>
    <row r="3" spans="1:25" ht="21.6" thickBot="1">
      <c r="B3" s="435" t="s">
        <v>946</v>
      </c>
      <c r="C3" s="33"/>
      <c r="D3" s="404"/>
      <c r="E3" s="20"/>
      <c r="F3" s="35"/>
      <c r="G3" s="35"/>
      <c r="H3" s="124"/>
      <c r="I3" s="41" t="s">
        <v>739</v>
      </c>
      <c r="J3" s="35"/>
      <c r="K3" s="21"/>
      <c r="L3" s="21"/>
      <c r="M3" s="263"/>
      <c r="N3" s="20"/>
      <c r="O3" s="111"/>
      <c r="P3" s="275" t="s">
        <v>797</v>
      </c>
      <c r="Q3" s="111"/>
      <c r="R3" s="29"/>
      <c r="S3" s="4"/>
      <c r="T3" s="360" t="s">
        <v>798</v>
      </c>
      <c r="U3" s="843" t="s">
        <v>687</v>
      </c>
      <c r="V3" s="360" t="s">
        <v>18</v>
      </c>
      <c r="W3" s="844"/>
      <c r="X3" s="29"/>
      <c r="Y3" s="360" t="str">
        <f>メイン!O32</f>
        <v>基本設計段階</v>
      </c>
    </row>
    <row r="4" spans="1:25" ht="9" customHeight="1">
      <c r="B4" s="267"/>
      <c r="C4" s="33"/>
      <c r="D4" s="20"/>
      <c r="E4" s="20"/>
      <c r="F4" s="20"/>
      <c r="G4" s="20"/>
      <c r="H4" s="34"/>
      <c r="I4" s="34"/>
      <c r="J4" s="20"/>
      <c r="K4" s="20"/>
      <c r="L4" s="20"/>
      <c r="M4" s="20"/>
      <c r="N4" s="20"/>
      <c r="O4" s="29"/>
      <c r="P4" s="29"/>
      <c r="Q4" s="29"/>
      <c r="R4" s="29"/>
      <c r="S4" s="4"/>
      <c r="T4" s="360" t="s">
        <v>799</v>
      </c>
      <c r="U4" s="392"/>
      <c r="V4" s="360" t="s">
        <v>240</v>
      </c>
      <c r="W4" s="844" t="s">
        <v>800</v>
      </c>
      <c r="X4" s="29"/>
      <c r="Y4" s="360" t="str">
        <f>メイン!O33</f>
        <v>実施設計段階</v>
      </c>
    </row>
    <row r="5" spans="1:25" ht="11.4" customHeight="1">
      <c r="B5" s="22"/>
      <c r="C5" s="22"/>
      <c r="D5" s="22"/>
      <c r="E5" s="22"/>
      <c r="F5" s="22"/>
      <c r="G5" s="22"/>
      <c r="H5" s="22"/>
      <c r="I5" s="22"/>
      <c r="J5" s="22"/>
      <c r="K5" s="22"/>
      <c r="L5" s="22"/>
      <c r="M5" s="22"/>
      <c r="N5" s="22"/>
      <c r="O5" s="147"/>
      <c r="P5" s="147"/>
      <c r="Q5" s="147"/>
      <c r="R5" s="147"/>
      <c r="S5" s="147"/>
      <c r="T5" s="147"/>
      <c r="U5" s="147"/>
      <c r="V5" s="360" t="s">
        <v>851</v>
      </c>
      <c r="W5" s="147"/>
      <c r="X5" s="147"/>
      <c r="Y5" s="360" t="str">
        <f>メイン!O34</f>
        <v>竣工段階</v>
      </c>
    </row>
    <row r="6" spans="1:25" ht="15.6">
      <c r="B6" s="498">
        <v>1</v>
      </c>
      <c r="C6" s="23" t="s">
        <v>350</v>
      </c>
      <c r="D6" s="22"/>
      <c r="E6" s="22"/>
      <c r="F6" s="22"/>
      <c r="G6" s="22"/>
      <c r="H6" s="22"/>
      <c r="I6" s="22"/>
      <c r="J6" s="22"/>
      <c r="K6" s="22"/>
      <c r="L6" s="22"/>
      <c r="M6" s="22"/>
      <c r="N6" s="22"/>
      <c r="O6" s="147"/>
      <c r="P6" s="147"/>
      <c r="Q6" s="147"/>
      <c r="R6" s="147"/>
      <c r="S6" s="147"/>
      <c r="T6" s="147"/>
      <c r="U6" s="147"/>
      <c r="V6" s="147"/>
      <c r="W6" s="147"/>
      <c r="X6" s="147"/>
      <c r="Y6" s="29"/>
    </row>
    <row r="7" spans="1:25" ht="16.5" customHeight="1" thickBot="1">
      <c r="B7" s="23"/>
      <c r="C7" s="23"/>
      <c r="D7" s="129"/>
      <c r="E7" s="129"/>
      <c r="F7" s="19"/>
      <c r="G7" s="441"/>
      <c r="H7" s="19"/>
      <c r="I7" s="19"/>
      <c r="J7" s="19"/>
      <c r="K7" s="22"/>
      <c r="L7" s="148" t="s">
        <v>2</v>
      </c>
      <c r="M7" s="328">
        <f>重み!M61</f>
        <v>0.3</v>
      </c>
      <c r="N7" s="22"/>
      <c r="O7" s="29">
        <f t="shared" ref="O7:Y7" si="0">C7</f>
        <v>0</v>
      </c>
      <c r="P7" s="29">
        <f t="shared" si="0"/>
        <v>0</v>
      </c>
      <c r="Q7" s="29">
        <f t="shared" si="0"/>
        <v>0</v>
      </c>
      <c r="R7" s="29">
        <f t="shared" si="0"/>
        <v>0</v>
      </c>
      <c r="S7" s="29">
        <f t="shared" si="0"/>
        <v>0</v>
      </c>
      <c r="T7" s="29">
        <f t="shared" si="0"/>
        <v>0</v>
      </c>
      <c r="U7" s="29">
        <f t="shared" si="0"/>
        <v>0</v>
      </c>
      <c r="V7" s="29">
        <f t="shared" si="0"/>
        <v>0</v>
      </c>
      <c r="W7" s="29">
        <f t="shared" si="0"/>
        <v>0</v>
      </c>
      <c r="X7" s="29" t="str">
        <f t="shared" si="0"/>
        <v>重み係数＝</v>
      </c>
      <c r="Y7" s="29">
        <f t="shared" si="0"/>
        <v>0.3</v>
      </c>
    </row>
    <row r="8" spans="1:25" ht="16.5" customHeight="1" thickBot="1">
      <c r="B8" s="267"/>
      <c r="C8" s="267"/>
      <c r="D8" s="867">
        <f>ROUND(IF(E16=V4,IF(F28&gt;=1,5,4),IF(E16=V5,IF(F28=0,1,IF(F28=3,4,IF(F28&gt;=4,5,3))),IF(F28=3,4,IF(F28&gt;=4,5,3)))),0)</f>
        <v>5</v>
      </c>
      <c r="E8" s="2934" t="s">
        <v>415</v>
      </c>
      <c r="F8" s="2935"/>
      <c r="G8" s="2935"/>
      <c r="H8" s="2935"/>
      <c r="I8" s="2935"/>
      <c r="J8" s="2935"/>
      <c r="K8" s="2935"/>
      <c r="L8" s="2935"/>
      <c r="M8" s="2936"/>
      <c r="N8" s="22"/>
      <c r="O8" s="29"/>
      <c r="P8" s="29"/>
      <c r="Q8" s="29"/>
      <c r="R8" s="29"/>
      <c r="S8" s="29"/>
      <c r="T8" s="29"/>
      <c r="U8" s="29"/>
      <c r="V8" s="29"/>
      <c r="W8" s="29"/>
      <c r="X8" s="29"/>
      <c r="Y8" s="29"/>
    </row>
    <row r="9" spans="1:25" ht="16.5" customHeight="1">
      <c r="B9" s="267"/>
      <c r="C9" s="267"/>
      <c r="D9" s="25" t="str">
        <f>IF(ROUNDDOWN($D$8,0)=$Q$9,$S$9,$R$9)</f>
        <v>　レベル　1</v>
      </c>
      <c r="E9" s="3014" t="s">
        <v>137</v>
      </c>
      <c r="F9" s="3015"/>
      <c r="G9" s="3015"/>
      <c r="H9" s="3015"/>
      <c r="I9" s="3015"/>
      <c r="J9" s="3015"/>
      <c r="K9" s="3015"/>
      <c r="L9" s="3015"/>
      <c r="M9" s="3016"/>
      <c r="N9" s="19"/>
      <c r="O9" s="147"/>
      <c r="P9" s="274">
        <f>$Q$9</f>
        <v>1</v>
      </c>
      <c r="Q9" s="276">
        <v>1</v>
      </c>
      <c r="R9" s="279" t="s">
        <v>801</v>
      </c>
      <c r="S9" s="277" t="s">
        <v>802</v>
      </c>
      <c r="T9" s="29"/>
      <c r="U9" s="274">
        <f>$Q$9</f>
        <v>1</v>
      </c>
      <c r="V9" s="29"/>
      <c r="W9" s="29"/>
      <c r="X9" s="29"/>
      <c r="Y9" s="29"/>
    </row>
    <row r="10" spans="1:25" ht="16.5" customHeight="1">
      <c r="B10" s="267"/>
      <c r="C10" s="267"/>
      <c r="D10" s="28" t="str">
        <f>IF(ROUNDDOWN($D$8,0)=$Q$10,$S$10,$R$10)</f>
        <v>　レベル　2</v>
      </c>
      <c r="E10" s="439" t="s">
        <v>409</v>
      </c>
      <c r="F10" s="430"/>
      <c r="G10" s="430"/>
      <c r="H10" s="430"/>
      <c r="I10" s="430"/>
      <c r="J10" s="430"/>
      <c r="K10" s="430"/>
      <c r="L10" s="430"/>
      <c r="M10" s="431"/>
      <c r="N10" s="19"/>
      <c r="O10" s="29"/>
      <c r="P10" s="274" t="s">
        <v>803</v>
      </c>
      <c r="Q10" s="276">
        <v>2</v>
      </c>
      <c r="R10" s="279" t="s">
        <v>487</v>
      </c>
      <c r="S10" s="277" t="s">
        <v>83</v>
      </c>
      <c r="T10" s="29"/>
      <c r="U10" s="274">
        <f>$Q$10</f>
        <v>2</v>
      </c>
      <c r="V10" s="29"/>
      <c r="W10" s="29"/>
      <c r="X10" s="29"/>
      <c r="Y10" s="29"/>
    </row>
    <row r="11" spans="1:25" ht="16.5" customHeight="1">
      <c r="B11" s="267"/>
      <c r="C11" s="267"/>
      <c r="D11" s="28" t="str">
        <f>IF(ROUNDDOWN($D$8,0)=$Q$11,$S$11,$R$11)</f>
        <v>　レベル　3</v>
      </c>
      <c r="E11" s="3017" t="s">
        <v>323</v>
      </c>
      <c r="F11" s="2971"/>
      <c r="G11" s="2971"/>
      <c r="H11" s="2971"/>
      <c r="I11" s="2971"/>
      <c r="J11" s="2971"/>
      <c r="K11" s="2971"/>
      <c r="L11" s="2971"/>
      <c r="M11" s="2972"/>
      <c r="N11" s="19"/>
      <c r="O11" s="29"/>
      <c r="P11" s="274">
        <f>$Q$11</f>
        <v>3</v>
      </c>
      <c r="Q11" s="276">
        <v>3</v>
      </c>
      <c r="R11" s="279" t="s">
        <v>488</v>
      </c>
      <c r="S11" s="277" t="s">
        <v>84</v>
      </c>
      <c r="T11" s="29"/>
      <c r="U11" s="274">
        <f>$Q$11</f>
        <v>3</v>
      </c>
      <c r="V11" s="29"/>
      <c r="W11" s="29"/>
      <c r="X11" s="29"/>
      <c r="Y11" s="29"/>
    </row>
    <row r="12" spans="1:25" ht="16.5" customHeight="1">
      <c r="B12" s="267"/>
      <c r="C12" s="267"/>
      <c r="D12" s="28" t="str">
        <f>IF(ROUNDDOWN($D$8,0)=$Q$12,$S$12,$R$12)</f>
        <v>　レベル　4</v>
      </c>
      <c r="E12" s="2995" t="s">
        <v>138</v>
      </c>
      <c r="F12" s="2996"/>
      <c r="G12" s="2996"/>
      <c r="H12" s="2996"/>
      <c r="I12" s="2996"/>
      <c r="J12" s="2996"/>
      <c r="K12" s="2996"/>
      <c r="L12" s="2996"/>
      <c r="M12" s="2997"/>
      <c r="N12" s="19"/>
      <c r="O12" s="29"/>
      <c r="P12" s="274">
        <f>$Q$12</f>
        <v>4</v>
      </c>
      <c r="Q12" s="276">
        <v>4</v>
      </c>
      <c r="R12" s="279" t="s">
        <v>489</v>
      </c>
      <c r="S12" s="277" t="s">
        <v>85</v>
      </c>
      <c r="T12" s="29"/>
      <c r="U12" s="274">
        <f>$Q$12</f>
        <v>4</v>
      </c>
      <c r="V12" s="29"/>
      <c r="W12" s="29"/>
      <c r="X12" s="29"/>
      <c r="Y12" s="29"/>
    </row>
    <row r="13" spans="1:25" ht="24" customHeight="1">
      <c r="B13" s="267"/>
      <c r="C13" s="267"/>
      <c r="D13" s="26" t="str">
        <f>IF(ROUNDDOWN($D$8,0)=$Q$13,$S$13,$R$13)</f>
        <v>■レベル　5</v>
      </c>
      <c r="E13" s="2998" t="s">
        <v>658</v>
      </c>
      <c r="F13" s="2999"/>
      <c r="G13" s="2999"/>
      <c r="H13" s="2999"/>
      <c r="I13" s="2999"/>
      <c r="J13" s="2999"/>
      <c r="K13" s="2999"/>
      <c r="L13" s="2999"/>
      <c r="M13" s="3000"/>
      <c r="N13" s="19"/>
      <c r="O13" s="29"/>
      <c r="P13" s="274">
        <f>$Q$13</f>
        <v>5</v>
      </c>
      <c r="Q13" s="276">
        <v>5</v>
      </c>
      <c r="R13" s="279" t="s">
        <v>490</v>
      </c>
      <c r="S13" s="277" t="s">
        <v>86</v>
      </c>
      <c r="T13" s="29"/>
      <c r="U13" s="274">
        <f>$Q$13</f>
        <v>5</v>
      </c>
      <c r="V13" s="29"/>
      <c r="W13" s="29"/>
      <c r="X13" s="29"/>
      <c r="Y13" s="29"/>
    </row>
    <row r="14" spans="1:25" ht="16.5" customHeight="1">
      <c r="B14" s="267"/>
      <c r="C14" s="267"/>
      <c r="D14" s="29"/>
      <c r="E14" s="127" t="s">
        <v>14</v>
      </c>
      <c r="F14" s="19"/>
      <c r="G14" s="126"/>
      <c r="H14" s="32"/>
      <c r="I14" s="32"/>
      <c r="J14" s="19"/>
      <c r="K14" s="19"/>
      <c r="L14" s="19"/>
      <c r="M14" s="19"/>
      <c r="N14" s="19"/>
      <c r="O14" s="29"/>
      <c r="P14" s="281" t="s">
        <v>803</v>
      </c>
      <c r="Q14" s="277">
        <v>0</v>
      </c>
      <c r="R14" s="277" t="s">
        <v>804</v>
      </c>
      <c r="S14" s="277" t="s">
        <v>804</v>
      </c>
      <c r="T14" s="29"/>
      <c r="U14" s="281">
        <f>$Q$14</f>
        <v>0</v>
      </c>
      <c r="V14" s="29"/>
      <c r="W14" s="29"/>
      <c r="X14" s="29"/>
      <c r="Y14" s="29"/>
    </row>
    <row r="15" spans="1:25" ht="16.2" thickBot="1">
      <c r="B15" s="267"/>
      <c r="C15" s="267"/>
      <c r="D15" s="29"/>
      <c r="E15" s="2548" t="s">
        <v>775</v>
      </c>
      <c r="F15" s="138" t="s">
        <v>776</v>
      </c>
      <c r="G15" s="842" t="s">
        <v>17</v>
      </c>
      <c r="H15" s="3004" t="s">
        <v>239</v>
      </c>
      <c r="I15" s="3004"/>
      <c r="J15" s="3004"/>
      <c r="K15" s="3004"/>
      <c r="L15" s="3004"/>
      <c r="M15" s="3005"/>
      <c r="N15" s="19"/>
      <c r="O15" s="29"/>
      <c r="P15" s="29"/>
      <c r="Q15" s="284" t="s">
        <v>87</v>
      </c>
      <c r="R15" s="29"/>
      <c r="S15" s="29"/>
      <c r="T15" s="29"/>
      <c r="U15" s="29"/>
      <c r="V15" s="29"/>
      <c r="W15" s="29"/>
      <c r="X15" s="29"/>
      <c r="Y15" s="29"/>
    </row>
    <row r="16" spans="1:25" ht="73.95" customHeight="1" thickBot="1">
      <c r="B16" s="267"/>
      <c r="C16" s="267"/>
      <c r="D16" s="29"/>
      <c r="E16" s="2953" t="s">
        <v>240</v>
      </c>
      <c r="F16" s="3032">
        <v>1</v>
      </c>
      <c r="G16" s="3024" t="s">
        <v>139</v>
      </c>
      <c r="H16" s="3018" t="s">
        <v>141</v>
      </c>
      <c r="I16" s="3019"/>
      <c r="J16" s="3019"/>
      <c r="K16" s="3019"/>
      <c r="L16" s="3019"/>
      <c r="M16" s="3020"/>
      <c r="N16" s="19"/>
      <c r="O16" s="2549" t="s">
        <v>1926</v>
      </c>
      <c r="P16" s="29"/>
      <c r="Q16" s="29"/>
      <c r="R16" s="29"/>
      <c r="S16" s="29"/>
      <c r="T16" s="29"/>
      <c r="U16" s="29"/>
      <c r="V16" s="29"/>
      <c r="W16" s="29"/>
      <c r="X16" s="29"/>
      <c r="Y16" s="29"/>
    </row>
    <row r="17" spans="1:25" ht="61.2" hidden="1" customHeight="1" thickBot="1">
      <c r="B17" s="267"/>
      <c r="C17" s="267"/>
      <c r="D17" s="29"/>
      <c r="E17" s="2955"/>
      <c r="F17" s="3033"/>
      <c r="G17" s="3028"/>
      <c r="H17" s="3018" t="s">
        <v>2064</v>
      </c>
      <c r="I17" s="3019"/>
      <c r="J17" s="3019"/>
      <c r="K17" s="3019"/>
      <c r="L17" s="3019"/>
      <c r="M17" s="3020"/>
      <c r="N17" s="19"/>
      <c r="O17" s="2549" t="s">
        <v>1927</v>
      </c>
      <c r="P17" s="29"/>
      <c r="Q17" s="29"/>
      <c r="R17" s="29"/>
      <c r="S17" s="29"/>
      <c r="T17" s="29"/>
      <c r="U17" s="29"/>
      <c r="V17" s="29"/>
      <c r="W17" s="29"/>
      <c r="X17" s="29"/>
      <c r="Y17" s="29"/>
    </row>
    <row r="18" spans="1:25" ht="24" customHeight="1">
      <c r="B18" s="267"/>
      <c r="C18" s="267"/>
      <c r="D18" s="29"/>
      <c r="E18" s="2953" t="s">
        <v>687</v>
      </c>
      <c r="F18" s="3035">
        <v>2</v>
      </c>
      <c r="G18" s="3034" t="s">
        <v>140</v>
      </c>
      <c r="H18" s="3024" t="s">
        <v>777</v>
      </c>
      <c r="I18" s="2937" t="s">
        <v>142</v>
      </c>
      <c r="J18" s="2938"/>
      <c r="K18" s="2938"/>
      <c r="L18" s="2938"/>
      <c r="M18" s="2939"/>
      <c r="N18" s="19"/>
      <c r="O18" s="2549" t="s">
        <v>1926</v>
      </c>
      <c r="P18" s="335"/>
      <c r="Q18" s="403"/>
      <c r="R18" s="403"/>
      <c r="S18" s="403"/>
      <c r="T18" s="29"/>
      <c r="U18" s="335"/>
      <c r="V18" s="29"/>
      <c r="W18" s="29"/>
      <c r="X18" s="29"/>
      <c r="Y18" s="29"/>
    </row>
    <row r="19" spans="1:25" ht="24" hidden="1" customHeight="1">
      <c r="B19" s="267"/>
      <c r="C19" s="267"/>
      <c r="D19" s="29"/>
      <c r="E19" s="3030"/>
      <c r="F19" s="3036"/>
      <c r="G19" s="3034"/>
      <c r="H19" s="3022"/>
      <c r="I19" s="2967" t="s">
        <v>2065</v>
      </c>
      <c r="J19" s="2968"/>
      <c r="K19" s="2968"/>
      <c r="L19" s="2968"/>
      <c r="M19" s="2969"/>
      <c r="N19" s="19"/>
      <c r="O19" s="2549" t="s">
        <v>1927</v>
      </c>
      <c r="P19" s="335"/>
      <c r="Q19" s="403"/>
      <c r="R19" s="403"/>
      <c r="S19" s="403"/>
      <c r="T19" s="29"/>
      <c r="U19" s="335"/>
      <c r="V19" s="29"/>
      <c r="W19" s="29"/>
      <c r="X19" s="29"/>
      <c r="Y19" s="29"/>
    </row>
    <row r="20" spans="1:25" ht="24" customHeight="1">
      <c r="B20" s="267"/>
      <c r="C20" s="267"/>
      <c r="D20" s="29"/>
      <c r="E20" s="3031"/>
      <c r="F20" s="3036"/>
      <c r="G20" s="3034"/>
      <c r="H20" s="3021" t="s">
        <v>778</v>
      </c>
      <c r="I20" s="2967" t="s">
        <v>143</v>
      </c>
      <c r="J20" s="2968"/>
      <c r="K20" s="2968"/>
      <c r="L20" s="2968"/>
      <c r="M20" s="2969"/>
      <c r="N20" s="19"/>
      <c r="O20" s="2549" t="s">
        <v>1926</v>
      </c>
      <c r="P20" s="335"/>
      <c r="Q20" s="403"/>
      <c r="R20" s="403"/>
      <c r="S20" s="403"/>
      <c r="T20" s="29"/>
      <c r="U20" s="335"/>
      <c r="V20" s="29"/>
      <c r="W20" s="29"/>
      <c r="X20" s="29"/>
      <c r="Y20" s="29"/>
    </row>
    <row r="21" spans="1:25" ht="24" hidden="1" customHeight="1">
      <c r="B21" s="267"/>
      <c r="C21" s="267"/>
      <c r="D21" s="29"/>
      <c r="E21" s="3030"/>
      <c r="F21" s="3036"/>
      <c r="G21" s="3034"/>
      <c r="H21" s="3022"/>
      <c r="I21" s="2967" t="s">
        <v>2066</v>
      </c>
      <c r="J21" s="2968"/>
      <c r="K21" s="2968"/>
      <c r="L21" s="2968"/>
      <c r="M21" s="2969"/>
      <c r="N21" s="19"/>
      <c r="O21" s="2549" t="s">
        <v>1927</v>
      </c>
      <c r="P21" s="335"/>
      <c r="Q21" s="403"/>
      <c r="R21" s="403"/>
      <c r="S21" s="403"/>
      <c r="T21" s="29"/>
      <c r="U21" s="335"/>
      <c r="V21" s="29"/>
      <c r="W21" s="29"/>
      <c r="X21" s="29"/>
      <c r="Y21" s="29"/>
    </row>
    <row r="22" spans="1:25" ht="24" customHeight="1">
      <c r="B22" s="267"/>
      <c r="C22" s="267"/>
      <c r="D22" s="29"/>
      <c r="E22" s="3031"/>
      <c r="F22" s="3036"/>
      <c r="G22" s="3034"/>
      <c r="H22" s="3021" t="s">
        <v>779</v>
      </c>
      <c r="I22" s="2967" t="s">
        <v>144</v>
      </c>
      <c r="J22" s="2968"/>
      <c r="K22" s="2968"/>
      <c r="L22" s="2968"/>
      <c r="M22" s="2969"/>
      <c r="N22" s="19"/>
      <c r="O22" s="2549" t="s">
        <v>1926</v>
      </c>
      <c r="P22" s="335"/>
      <c r="Q22" s="403"/>
      <c r="R22" s="403"/>
      <c r="S22" s="403"/>
      <c r="T22" s="29"/>
      <c r="U22" s="335"/>
      <c r="V22" s="29"/>
      <c r="W22" s="29"/>
      <c r="X22" s="29"/>
      <c r="Y22" s="29"/>
    </row>
    <row r="23" spans="1:25" ht="49.95" hidden="1" customHeight="1">
      <c r="B23" s="267"/>
      <c r="C23" s="267"/>
      <c r="D23" s="29"/>
      <c r="E23" s="3030"/>
      <c r="F23" s="3036"/>
      <c r="G23" s="3034"/>
      <c r="H23" s="3022"/>
      <c r="I23" s="2967" t="s">
        <v>2067</v>
      </c>
      <c r="J23" s="2968"/>
      <c r="K23" s="2968"/>
      <c r="L23" s="2968"/>
      <c r="M23" s="2969"/>
      <c r="N23" s="19"/>
      <c r="O23" s="2549" t="s">
        <v>1927</v>
      </c>
      <c r="P23" s="335"/>
      <c r="Q23" s="403"/>
      <c r="R23" s="403"/>
      <c r="S23" s="403"/>
      <c r="T23" s="29"/>
      <c r="U23" s="335"/>
      <c r="V23" s="29"/>
      <c r="W23" s="29"/>
      <c r="X23" s="29"/>
      <c r="Y23" s="29"/>
    </row>
    <row r="24" spans="1:25" ht="24" customHeight="1">
      <c r="B24" s="267"/>
      <c r="C24" s="267"/>
      <c r="D24" s="29"/>
      <c r="E24" s="3031"/>
      <c r="F24" s="3036"/>
      <c r="G24" s="3034"/>
      <c r="H24" s="3021" t="s">
        <v>780</v>
      </c>
      <c r="I24" s="2967" t="s">
        <v>145</v>
      </c>
      <c r="J24" s="2968"/>
      <c r="K24" s="2968"/>
      <c r="L24" s="2968"/>
      <c r="M24" s="2969"/>
      <c r="N24" s="19"/>
      <c r="O24" s="2549" t="s">
        <v>1926</v>
      </c>
      <c r="P24" s="335"/>
      <c r="Q24" s="403"/>
      <c r="R24" s="403"/>
      <c r="S24" s="403"/>
      <c r="T24" s="29"/>
      <c r="U24" s="335"/>
      <c r="V24" s="29"/>
      <c r="W24" s="29"/>
      <c r="X24" s="29"/>
      <c r="Y24" s="29"/>
    </row>
    <row r="25" spans="1:25" ht="24" hidden="1" customHeight="1">
      <c r="B25" s="267"/>
      <c r="C25" s="267"/>
      <c r="D25" s="29"/>
      <c r="E25" s="3030"/>
      <c r="F25" s="3036"/>
      <c r="G25" s="3034"/>
      <c r="H25" s="3022"/>
      <c r="I25" s="438" t="s">
        <v>2068</v>
      </c>
      <c r="J25" s="430"/>
      <c r="K25" s="430"/>
      <c r="L25" s="430"/>
      <c r="M25" s="431"/>
      <c r="N25" s="19"/>
      <c r="O25" s="2549" t="s">
        <v>1927</v>
      </c>
      <c r="P25" s="335"/>
      <c r="Q25" s="403"/>
      <c r="R25" s="403"/>
      <c r="S25" s="403"/>
      <c r="T25" s="29"/>
      <c r="U25" s="335"/>
      <c r="V25" s="29"/>
      <c r="W25" s="29"/>
      <c r="X25" s="29"/>
      <c r="Y25" s="29"/>
    </row>
    <row r="26" spans="1:25" ht="27.6" customHeight="1" thickBot="1">
      <c r="B26" s="267"/>
      <c r="C26" s="267"/>
      <c r="D26" s="29"/>
      <c r="E26" s="3031"/>
      <c r="F26" s="3036"/>
      <c r="G26" s="3034"/>
      <c r="H26" s="3021" t="s">
        <v>781</v>
      </c>
      <c r="I26" s="2967" t="s">
        <v>146</v>
      </c>
      <c r="J26" s="2968"/>
      <c r="K26" s="2968"/>
      <c r="L26" s="2968"/>
      <c r="M26" s="2969"/>
      <c r="N26" s="19"/>
      <c r="O26" s="2549" t="s">
        <v>1926</v>
      </c>
      <c r="P26" s="335"/>
      <c r="Q26" s="403"/>
      <c r="R26" s="403"/>
      <c r="S26" s="403"/>
      <c r="T26" s="29"/>
      <c r="U26" s="335"/>
      <c r="V26" s="29"/>
      <c r="W26" s="29"/>
      <c r="X26" s="29"/>
      <c r="Y26" s="29"/>
    </row>
    <row r="27" spans="1:25" ht="24.6" hidden="1" customHeight="1" thickBot="1">
      <c r="B27" s="267"/>
      <c r="C27" s="267"/>
      <c r="D27" s="29"/>
      <c r="E27" s="2955"/>
      <c r="F27" s="3037"/>
      <c r="G27" s="3034"/>
      <c r="H27" s="3028"/>
      <c r="I27" s="2947" t="s">
        <v>2069</v>
      </c>
      <c r="J27" s="2970"/>
      <c r="K27" s="2970"/>
      <c r="L27" s="2970"/>
      <c r="M27" s="2948"/>
      <c r="N27" s="19"/>
      <c r="O27" s="2549" t="s">
        <v>1927</v>
      </c>
      <c r="P27" s="335"/>
      <c r="Q27" s="403"/>
      <c r="R27" s="403"/>
      <c r="S27" s="403"/>
      <c r="T27" s="29"/>
      <c r="U27" s="335"/>
      <c r="V27" s="29"/>
      <c r="W27" s="29"/>
      <c r="X27" s="29"/>
      <c r="Y27" s="29"/>
    </row>
    <row r="28" spans="1:25" ht="15.6">
      <c r="B28" s="267"/>
      <c r="C28" s="267"/>
      <c r="D28" s="29"/>
      <c r="E28" s="2552" t="s">
        <v>741</v>
      </c>
      <c r="F28" s="2550">
        <f>COUNTIF(E18:E26,"○")</f>
        <v>1</v>
      </c>
      <c r="G28" s="423"/>
      <c r="H28" s="423"/>
      <c r="I28" s="325"/>
      <c r="J28" s="325"/>
      <c r="K28" s="325"/>
      <c r="L28" s="326"/>
      <c r="M28" s="2551"/>
      <c r="N28" s="19"/>
      <c r="O28" s="29"/>
      <c r="P28" s="335"/>
      <c r="Q28" s="403"/>
      <c r="R28" s="403"/>
      <c r="S28" s="403"/>
      <c r="T28" s="29"/>
      <c r="U28" s="335"/>
      <c r="V28" s="29"/>
      <c r="W28" s="29"/>
      <c r="X28" s="29"/>
      <c r="Y28" s="29"/>
    </row>
    <row r="29" spans="1:25" s="29" customFormat="1" ht="8.25" customHeight="1">
      <c r="A29" s="19"/>
      <c r="B29" s="137"/>
      <c r="C29" s="504"/>
      <c r="D29" s="270"/>
      <c r="E29" s="270"/>
      <c r="F29" s="2"/>
      <c r="G29" s="2"/>
      <c r="H29" s="2"/>
      <c r="I29" s="2"/>
      <c r="J29" s="2"/>
      <c r="K29" s="2"/>
      <c r="L29" s="2"/>
      <c r="M29" s="2"/>
      <c r="N29" s="22"/>
      <c r="P29"/>
      <c r="R29" s="4"/>
      <c r="S29" s="4"/>
      <c r="T29" s="113"/>
    </row>
    <row r="30" spans="1:25" s="29" customFormat="1" ht="21" customHeight="1">
      <c r="A30" s="19"/>
      <c r="B30" s="137"/>
      <c r="C30" s="504"/>
      <c r="E30" s="646" t="s">
        <v>3</v>
      </c>
      <c r="F30" s="647"/>
      <c r="G30" s="2441"/>
      <c r="H30" s="2442"/>
      <c r="I30" s="990"/>
      <c r="J30" s="990"/>
      <c r="K30" s="990"/>
      <c r="L30" s="990"/>
      <c r="M30" s="991"/>
      <c r="N30" s="22"/>
      <c r="P30" s="511"/>
      <c r="Q30" s="284"/>
      <c r="R30" s="4"/>
      <c r="S30" s="4"/>
      <c r="T30" s="113"/>
      <c r="U30" s="511"/>
      <c r="V30" s="113"/>
      <c r="W30" s="113"/>
      <c r="X30" s="113"/>
      <c r="Y30" s="113"/>
    </row>
    <row r="31" spans="1:25" ht="15.6">
      <c r="B31" s="267"/>
      <c r="C31" s="19"/>
      <c r="D31" s="19"/>
      <c r="E31" s="19"/>
      <c r="F31" s="19"/>
      <c r="G31" s="19"/>
      <c r="H31" s="32"/>
      <c r="I31" s="32"/>
      <c r="J31" s="19"/>
      <c r="K31" s="19"/>
      <c r="L31" s="19"/>
      <c r="M31" s="19"/>
      <c r="N31" s="19"/>
      <c r="O31" s="121"/>
      <c r="P31" s="29"/>
      <c r="Q31" s="121"/>
      <c r="R31" s="29"/>
      <c r="S31" s="29"/>
      <c r="T31" s="29"/>
      <c r="U31" s="29"/>
      <c r="V31" s="29"/>
      <c r="W31" s="29"/>
      <c r="X31" s="29"/>
      <c r="Y31" s="29"/>
    </row>
    <row r="32" spans="1:25" ht="15.6">
      <c r="B32" s="137">
        <v>2</v>
      </c>
      <c r="C32" s="23" t="s">
        <v>358</v>
      </c>
      <c r="D32" s="22"/>
      <c r="E32" s="19"/>
      <c r="F32" s="19"/>
      <c r="G32" s="19"/>
      <c r="H32" s="32"/>
      <c r="I32" s="32"/>
      <c r="J32" s="19"/>
      <c r="K32" s="19"/>
      <c r="L32" s="19"/>
      <c r="M32" s="19"/>
      <c r="N32" s="19"/>
      <c r="O32" s="403"/>
      <c r="P32" s="29"/>
      <c r="Q32" s="121"/>
      <c r="R32" s="29"/>
      <c r="S32" s="29"/>
      <c r="T32" s="29"/>
      <c r="U32" s="29"/>
      <c r="V32" s="29"/>
      <c r="W32" s="29"/>
      <c r="X32" s="29"/>
      <c r="Y32" s="29"/>
    </row>
    <row r="33" spans="1:25" ht="15.6">
      <c r="B33" s="513">
        <v>2.1</v>
      </c>
      <c r="C33" s="23" t="s">
        <v>527</v>
      </c>
      <c r="D33" s="22"/>
      <c r="E33" s="19"/>
      <c r="F33" s="19"/>
      <c r="G33" s="19"/>
      <c r="H33" s="32"/>
      <c r="I33" s="32"/>
      <c r="J33" s="19"/>
      <c r="K33" s="19"/>
      <c r="L33" s="19"/>
      <c r="M33" s="19"/>
      <c r="N33" s="19"/>
      <c r="O33" s="403"/>
      <c r="P33" s="29"/>
      <c r="Q33" s="121"/>
      <c r="R33" s="29"/>
      <c r="S33" s="29"/>
      <c r="T33" s="29"/>
      <c r="U33" s="29"/>
      <c r="V33" s="29"/>
      <c r="W33" s="29"/>
      <c r="X33" s="29"/>
      <c r="Y33" s="29"/>
    </row>
    <row r="34" spans="1:25" ht="16.5" customHeight="1" thickBot="1">
      <c r="D34" s="129"/>
      <c r="E34" s="129"/>
      <c r="F34" s="19"/>
      <c r="G34" s="441"/>
      <c r="H34" s="19"/>
      <c r="I34" s="19"/>
      <c r="J34" s="19"/>
      <c r="K34" s="22"/>
      <c r="L34" s="148" t="s">
        <v>2</v>
      </c>
      <c r="M34" s="328">
        <f>重み!M63</f>
        <v>0.65</v>
      </c>
      <c r="N34" s="19"/>
      <c r="O34" s="29">
        <f>B33</f>
        <v>2.1</v>
      </c>
      <c r="P34" s="29" t="str">
        <f>C33</f>
        <v>敷地内の緑化</v>
      </c>
      <c r="Q34" s="29">
        <f t="shared" ref="Q34:Y34" si="1">E34</f>
        <v>0</v>
      </c>
      <c r="R34" s="29">
        <f t="shared" si="1"/>
        <v>0</v>
      </c>
      <c r="S34" s="29">
        <f t="shared" si="1"/>
        <v>0</v>
      </c>
      <c r="T34" s="29">
        <f t="shared" si="1"/>
        <v>0</v>
      </c>
      <c r="U34" s="29">
        <f t="shared" si="1"/>
        <v>0</v>
      </c>
      <c r="V34" s="29">
        <f t="shared" si="1"/>
        <v>0</v>
      </c>
      <c r="W34" s="29">
        <f t="shared" si="1"/>
        <v>0</v>
      </c>
      <c r="X34" s="29" t="str">
        <f t="shared" si="1"/>
        <v>重み係数＝</v>
      </c>
      <c r="Y34" s="29">
        <f t="shared" si="1"/>
        <v>0.65</v>
      </c>
    </row>
    <row r="35" spans="1:25" ht="16.5" customHeight="1" thickBot="1">
      <c r="B35" s="23"/>
      <c r="C35" s="23"/>
      <c r="D35" s="865">
        <v>2</v>
      </c>
      <c r="E35" s="2934" t="s">
        <v>415</v>
      </c>
      <c r="F35" s="2935"/>
      <c r="G35" s="2935"/>
      <c r="H35" s="2935"/>
      <c r="I35" s="2935"/>
      <c r="J35" s="2935"/>
      <c r="K35" s="2935"/>
      <c r="L35" s="2935"/>
      <c r="M35" s="2936"/>
      <c r="N35" s="19"/>
      <c r="O35" s="121"/>
      <c r="P35" s="121"/>
      <c r="Q35" s="121"/>
      <c r="R35" s="29"/>
      <c r="S35" s="29"/>
      <c r="T35" s="29"/>
      <c r="U35" s="147"/>
      <c r="V35" s="29"/>
      <c r="W35" s="29"/>
      <c r="X35" s="29"/>
      <c r="Y35" s="29"/>
    </row>
    <row r="36" spans="1:25" ht="16.5" customHeight="1">
      <c r="B36" s="267"/>
      <c r="C36" s="267"/>
      <c r="D36" s="25" t="str">
        <f>IF(ROUNDDOWN($D$35,0)=$Q$9,$S$9,$R$9)</f>
        <v>　レベル　1</v>
      </c>
      <c r="E36" s="438" t="s">
        <v>783</v>
      </c>
      <c r="F36" s="436"/>
      <c r="G36" s="436"/>
      <c r="H36" s="436"/>
      <c r="I36" s="436"/>
      <c r="J36" s="436"/>
      <c r="K36" s="436"/>
      <c r="L36" s="436"/>
      <c r="M36" s="437"/>
      <c r="N36" s="19"/>
      <c r="O36" s="121"/>
      <c r="P36" s="274">
        <f>$Q$9</f>
        <v>1</v>
      </c>
      <c r="Q36" s="121"/>
      <c r="R36" s="29"/>
      <c r="S36" s="29"/>
      <c r="T36" s="29"/>
      <c r="U36" s="274">
        <f>$Q$9</f>
        <v>1</v>
      </c>
      <c r="V36" s="29"/>
      <c r="W36" s="29"/>
      <c r="X36" s="29"/>
      <c r="Y36" s="29"/>
    </row>
    <row r="37" spans="1:25" ht="16.5" customHeight="1">
      <c r="B37" s="267"/>
      <c r="C37" s="267"/>
      <c r="D37" s="28" t="str">
        <f>IF(ROUNDDOWN($D$35,0)=$Q$10,$S$10,$R$10)</f>
        <v>■レベル　2</v>
      </c>
      <c r="E37" s="439" t="s">
        <v>784</v>
      </c>
      <c r="F37" s="430"/>
      <c r="G37" s="430"/>
      <c r="H37" s="430"/>
      <c r="I37" s="430"/>
      <c r="J37" s="430"/>
      <c r="K37" s="430"/>
      <c r="L37" s="430"/>
      <c r="M37" s="431"/>
      <c r="N37" s="19"/>
      <c r="O37" s="121"/>
      <c r="P37" s="274">
        <f>$Q$10</f>
        <v>2</v>
      </c>
      <c r="Q37" s="121"/>
      <c r="R37" s="29"/>
      <c r="S37" s="29"/>
      <c r="T37" s="29"/>
      <c r="U37" s="274">
        <f>$Q$10</f>
        <v>2</v>
      </c>
      <c r="V37" s="29"/>
      <c r="W37" s="29"/>
      <c r="X37" s="29"/>
      <c r="Y37" s="29"/>
    </row>
    <row r="38" spans="1:25" ht="16.5" customHeight="1">
      <c r="B38" s="267"/>
      <c r="C38" s="267"/>
      <c r="D38" s="28" t="str">
        <f>IF(ROUNDDOWN($D$35,0)=$Q$11,$S$11,$R$11)</f>
        <v>　レベル　3</v>
      </c>
      <c r="E38" s="439" t="s">
        <v>785</v>
      </c>
      <c r="F38" s="430"/>
      <c r="G38" s="430"/>
      <c r="H38" s="430"/>
      <c r="I38" s="430"/>
      <c r="J38" s="430"/>
      <c r="K38" s="430"/>
      <c r="L38" s="430"/>
      <c r="M38" s="431"/>
      <c r="N38" s="19"/>
      <c r="O38" s="121"/>
      <c r="P38" s="274">
        <f>$Q$11</f>
        <v>3</v>
      </c>
      <c r="Q38" s="121"/>
      <c r="R38" s="29"/>
      <c r="S38" s="29"/>
      <c r="T38" s="29"/>
      <c r="U38" s="274">
        <f>$Q$11</f>
        <v>3</v>
      </c>
      <c r="V38" s="29"/>
      <c r="W38" s="29"/>
      <c r="X38" s="29"/>
      <c r="Y38" s="29"/>
    </row>
    <row r="39" spans="1:25" ht="16.5" customHeight="1">
      <c r="B39" s="267"/>
      <c r="C39" s="267"/>
      <c r="D39" s="28" t="str">
        <f>IF(ROUNDDOWN($D$35,0)=$Q$12,$S$12,$R$12)</f>
        <v>　レベル　4</v>
      </c>
      <c r="E39" s="439" t="s">
        <v>786</v>
      </c>
      <c r="F39" s="430"/>
      <c r="G39" s="430"/>
      <c r="H39" s="430"/>
      <c r="I39" s="430"/>
      <c r="J39" s="430"/>
      <c r="K39" s="430"/>
      <c r="L39" s="430"/>
      <c r="M39" s="431"/>
      <c r="N39" s="19"/>
      <c r="O39" s="121"/>
      <c r="P39" s="274">
        <f>$Q$12</f>
        <v>4</v>
      </c>
      <c r="Q39" s="121"/>
      <c r="R39" s="29"/>
      <c r="S39" s="29"/>
      <c r="T39" s="29"/>
      <c r="U39" s="274">
        <f>$Q$12</f>
        <v>4</v>
      </c>
      <c r="V39" s="29"/>
      <c r="W39" s="29"/>
      <c r="X39" s="29"/>
      <c r="Y39" s="29"/>
    </row>
    <row r="40" spans="1:25" ht="16.5" customHeight="1">
      <c r="B40" s="267"/>
      <c r="C40" s="267"/>
      <c r="D40" s="26" t="str">
        <f>IF(ROUNDDOWN($D$35,0)=$Q$13,$S$13,$R$13)</f>
        <v>　レベル　5</v>
      </c>
      <c r="E40" s="440" t="s">
        <v>787</v>
      </c>
      <c r="F40" s="426"/>
      <c r="G40" s="426"/>
      <c r="H40" s="426"/>
      <c r="I40" s="426"/>
      <c r="J40" s="426"/>
      <c r="K40" s="426"/>
      <c r="L40" s="426"/>
      <c r="M40" s="427"/>
      <c r="N40" s="19"/>
      <c r="O40" s="121"/>
      <c r="P40" s="274">
        <f>$Q$13</f>
        <v>5</v>
      </c>
      <c r="Q40" s="121"/>
      <c r="R40" s="29"/>
      <c r="S40" s="29"/>
      <c r="T40" s="29"/>
      <c r="U40" s="274">
        <f>$Q$13</f>
        <v>5</v>
      </c>
      <c r="V40" s="29"/>
      <c r="W40" s="29"/>
      <c r="X40" s="29"/>
      <c r="Y40" s="29"/>
    </row>
    <row r="41" spans="1:25" s="29" customFormat="1" ht="8.25" customHeight="1">
      <c r="A41" s="19"/>
      <c r="B41" s="137"/>
      <c r="C41" s="504"/>
      <c r="D41" s="270"/>
      <c r="E41" s="270"/>
      <c r="F41" s="2"/>
      <c r="G41" s="2"/>
      <c r="H41" s="2"/>
      <c r="I41" s="2"/>
      <c r="J41" s="2"/>
      <c r="K41" s="2"/>
      <c r="L41" s="2"/>
      <c r="M41" s="2"/>
      <c r="N41" s="22"/>
      <c r="P41" s="491" t="s">
        <v>68</v>
      </c>
      <c r="Q41" s="284" t="s">
        <v>87</v>
      </c>
      <c r="R41" s="4"/>
      <c r="S41" s="4"/>
      <c r="T41" s="113"/>
    </row>
    <row r="42" spans="1:25" s="29" customFormat="1" ht="21" customHeight="1">
      <c r="A42" s="19"/>
      <c r="B42" s="137"/>
      <c r="C42" s="504"/>
      <c r="E42" s="646" t="s">
        <v>3</v>
      </c>
      <c r="F42" s="647"/>
      <c r="G42" s="2441"/>
      <c r="H42" s="2442"/>
      <c r="I42" s="990"/>
      <c r="J42" s="990"/>
      <c r="K42" s="990"/>
      <c r="L42" s="990"/>
      <c r="M42" s="991"/>
      <c r="N42" s="22"/>
      <c r="P42" s="511"/>
      <c r="Q42" s="284"/>
      <c r="R42" s="4"/>
      <c r="S42" s="4"/>
      <c r="T42" s="113"/>
      <c r="U42" s="511"/>
      <c r="V42" s="113"/>
      <c r="W42" s="113"/>
      <c r="X42" s="113"/>
      <c r="Y42" s="113"/>
    </row>
    <row r="43" spans="1:25" ht="15.6">
      <c r="B43" s="267"/>
      <c r="C43" s="336"/>
      <c r="D43" s="336"/>
      <c r="E43" s="442"/>
      <c r="F43" s="442"/>
      <c r="G43" s="442"/>
      <c r="H43" s="442"/>
      <c r="I43" s="442"/>
      <c r="J43" s="442"/>
      <c r="K43" s="442"/>
      <c r="L43" s="442"/>
      <c r="M43" s="442"/>
      <c r="N43" s="19"/>
      <c r="O43" s="29"/>
      <c r="P43" s="335"/>
      <c r="Q43" s="29"/>
      <c r="R43" s="29"/>
      <c r="S43" s="29"/>
      <c r="T43" s="29"/>
      <c r="U43" s="335"/>
      <c r="V43" s="29"/>
      <c r="W43" s="29"/>
      <c r="X43" s="29"/>
      <c r="Y43" s="29"/>
    </row>
    <row r="44" spans="1:25" ht="15.6">
      <c r="B44" s="498">
        <v>2.2000000000000002</v>
      </c>
      <c r="C44" s="23" t="s">
        <v>528</v>
      </c>
      <c r="D44" s="336"/>
      <c r="E44" s="442"/>
      <c r="F44" s="442"/>
      <c r="G44" s="442"/>
      <c r="H44" s="442"/>
      <c r="I44" s="442"/>
      <c r="J44" s="442"/>
      <c r="K44" s="442"/>
      <c r="L44" s="442"/>
      <c r="M44" s="442"/>
      <c r="N44" s="19"/>
      <c r="O44" s="29"/>
      <c r="P44" s="335"/>
      <c r="Q44" s="29"/>
      <c r="R44" s="29"/>
      <c r="S44" s="29"/>
      <c r="T44" s="29"/>
      <c r="U44" s="335"/>
      <c r="V44" s="29"/>
      <c r="W44" s="29"/>
      <c r="X44" s="29"/>
      <c r="Y44" s="29"/>
    </row>
    <row r="45" spans="1:25" ht="16.5" customHeight="1" thickBot="1">
      <c r="D45" s="129"/>
      <c r="E45" s="129"/>
      <c r="F45" s="19"/>
      <c r="G45" s="441"/>
      <c r="H45" s="19"/>
      <c r="I45" s="19"/>
      <c r="J45" s="19"/>
      <c r="K45" s="22"/>
      <c r="L45" s="148" t="s">
        <v>2</v>
      </c>
      <c r="M45" s="328">
        <f>重み!M64</f>
        <v>0.35</v>
      </c>
      <c r="N45" s="22"/>
      <c r="O45" s="29">
        <f>B44</f>
        <v>2.2000000000000002</v>
      </c>
      <c r="P45" s="29" t="str">
        <f>C44</f>
        <v>生物の生息環境の確保</v>
      </c>
      <c r="Q45" s="29">
        <f t="shared" ref="Q45:Y45" si="2">E45</f>
        <v>0</v>
      </c>
      <c r="R45" s="29">
        <f t="shared" si="2"/>
        <v>0</v>
      </c>
      <c r="S45" s="29">
        <f t="shared" si="2"/>
        <v>0</v>
      </c>
      <c r="T45" s="29">
        <f t="shared" si="2"/>
        <v>0</v>
      </c>
      <c r="U45" s="29">
        <f t="shared" si="2"/>
        <v>0</v>
      </c>
      <c r="V45" s="29">
        <f t="shared" si="2"/>
        <v>0</v>
      </c>
      <c r="W45" s="29">
        <f t="shared" si="2"/>
        <v>0</v>
      </c>
      <c r="X45" s="29" t="str">
        <f t="shared" si="2"/>
        <v>重み係数＝</v>
      </c>
      <c r="Y45" s="29">
        <f t="shared" si="2"/>
        <v>0.35</v>
      </c>
    </row>
    <row r="46" spans="1:25" ht="16.5" customHeight="1" thickBot="1">
      <c r="B46" s="267"/>
      <c r="C46" s="267"/>
      <c r="D46" s="865">
        <f>ROUND(IF(F60=0,1,IF(F60&lt;=2,3,IF(F60&gt;=3,5))),0)</f>
        <v>3</v>
      </c>
      <c r="E46" s="2934" t="s">
        <v>415</v>
      </c>
      <c r="F46" s="2935"/>
      <c r="G46" s="2935"/>
      <c r="H46" s="2935"/>
      <c r="I46" s="2935"/>
      <c r="J46" s="2935"/>
      <c r="K46" s="2935"/>
      <c r="L46" s="2935"/>
      <c r="M46" s="2936"/>
      <c r="N46" s="19"/>
      <c r="O46" s="121"/>
      <c r="P46" s="121"/>
      <c r="Q46" s="121"/>
      <c r="R46" s="29"/>
      <c r="S46" s="29"/>
      <c r="T46" s="29"/>
      <c r="U46" s="147"/>
      <c r="V46" s="29"/>
      <c r="W46" s="29"/>
      <c r="X46" s="29"/>
      <c r="Y46" s="29"/>
    </row>
    <row r="47" spans="1:25" ht="16.5" customHeight="1">
      <c r="B47" s="267"/>
      <c r="C47" s="267"/>
      <c r="D47" s="25" t="str">
        <f>IF(ROUNDDOWN($D$46,0)=$Q$9,$S$9,$R$9)</f>
        <v>　レベル　1</v>
      </c>
      <c r="E47" s="438" t="s">
        <v>740</v>
      </c>
      <c r="F47" s="436"/>
      <c r="G47" s="436"/>
      <c r="H47" s="436"/>
      <c r="I47" s="436"/>
      <c r="J47" s="436"/>
      <c r="K47" s="436"/>
      <c r="L47" s="436"/>
      <c r="M47" s="437"/>
      <c r="N47" s="19"/>
      <c r="O47" s="121"/>
      <c r="P47" s="274">
        <f>$Q$9</f>
        <v>1</v>
      </c>
      <c r="Q47" s="121"/>
      <c r="R47" s="29"/>
      <c r="S47" s="29"/>
      <c r="T47" s="29"/>
      <c r="U47" s="274">
        <f>$Q$9</f>
        <v>1</v>
      </c>
      <c r="V47" s="29"/>
      <c r="W47" s="29"/>
      <c r="X47" s="29"/>
      <c r="Y47" s="29"/>
    </row>
    <row r="48" spans="1:25" ht="16.5" customHeight="1">
      <c r="B48" s="267"/>
      <c r="C48" s="267"/>
      <c r="D48" s="28" t="str">
        <f>IF(ROUNDDOWN($D$46,0)=$Q$10,$S$10,$R$10)</f>
        <v>　レベル　2</v>
      </c>
      <c r="E48" s="439" t="s">
        <v>409</v>
      </c>
      <c r="F48" s="430"/>
      <c r="G48" s="430"/>
      <c r="H48" s="430"/>
      <c r="I48" s="430"/>
      <c r="J48" s="430"/>
      <c r="K48" s="430"/>
      <c r="L48" s="430"/>
      <c r="M48" s="431"/>
      <c r="N48" s="19"/>
      <c r="O48" s="121"/>
      <c r="P48" s="274" t="s">
        <v>803</v>
      </c>
      <c r="Q48" s="121"/>
      <c r="R48" s="29"/>
      <c r="S48" s="29"/>
      <c r="T48" s="29"/>
      <c r="U48" s="274">
        <f>$Q$10</f>
        <v>2</v>
      </c>
      <c r="V48" s="29"/>
      <c r="W48" s="29"/>
      <c r="X48" s="29"/>
      <c r="Y48" s="29"/>
    </row>
    <row r="49" spans="1:25" ht="16.5" customHeight="1">
      <c r="B49" s="267"/>
      <c r="C49" s="267"/>
      <c r="D49" s="28" t="str">
        <f>IF(ROUNDDOWN($D$46,0)=$Q$11,$S$11,$R$11)</f>
        <v>■レベル　3</v>
      </c>
      <c r="E49" s="439" t="s">
        <v>1709</v>
      </c>
      <c r="F49" s="430"/>
      <c r="G49" s="430"/>
      <c r="H49" s="430"/>
      <c r="I49" s="430"/>
      <c r="J49" s="430"/>
      <c r="K49" s="430"/>
      <c r="L49" s="430"/>
      <c r="M49" s="431"/>
      <c r="N49" s="19"/>
      <c r="O49" s="121"/>
      <c r="P49" s="274">
        <f>$Q$11</f>
        <v>3</v>
      </c>
      <c r="Q49" s="121"/>
      <c r="R49" s="29"/>
      <c r="S49" s="29"/>
      <c r="T49" s="29"/>
      <c r="U49" s="274">
        <f>$Q$11</f>
        <v>3</v>
      </c>
      <c r="V49" s="29"/>
      <c r="W49" s="29"/>
      <c r="X49" s="29"/>
      <c r="Y49" s="29"/>
    </row>
    <row r="50" spans="1:25" ht="16.5" customHeight="1">
      <c r="B50" s="267"/>
      <c r="C50" s="267"/>
      <c r="D50" s="28" t="str">
        <f>IF(ROUNDDOWN($D$46,0)=$Q$12,$S$12,$R$12)</f>
        <v>　レベル　4</v>
      </c>
      <c r="E50" s="439" t="s">
        <v>409</v>
      </c>
      <c r="F50" s="430"/>
      <c r="G50" s="430"/>
      <c r="H50" s="430"/>
      <c r="I50" s="430"/>
      <c r="J50" s="430"/>
      <c r="K50" s="430"/>
      <c r="L50" s="430"/>
      <c r="M50" s="431"/>
      <c r="N50" s="19"/>
      <c r="O50" s="121"/>
      <c r="P50" s="274" t="s">
        <v>803</v>
      </c>
      <c r="Q50" s="121"/>
      <c r="R50" s="29"/>
      <c r="S50" s="29"/>
      <c r="T50" s="29"/>
      <c r="U50" s="274">
        <f>$Q$12</f>
        <v>4</v>
      </c>
      <c r="V50" s="29"/>
      <c r="W50" s="29"/>
      <c r="X50" s="29"/>
      <c r="Y50" s="29"/>
    </row>
    <row r="51" spans="1:25" ht="16.5" customHeight="1">
      <c r="B51" s="267"/>
      <c r="C51" s="267"/>
      <c r="D51" s="26" t="str">
        <f>IF(ROUNDDOWN($D$46,0)=$Q$13,$S$13,$R$13)</f>
        <v>　レベル　5</v>
      </c>
      <c r="E51" s="440" t="s">
        <v>1710</v>
      </c>
      <c r="F51" s="426"/>
      <c r="G51" s="426"/>
      <c r="H51" s="426"/>
      <c r="I51" s="426"/>
      <c r="J51" s="426"/>
      <c r="K51" s="426"/>
      <c r="L51" s="426"/>
      <c r="M51" s="427"/>
      <c r="N51" s="19"/>
      <c r="O51" s="121"/>
      <c r="P51" s="274">
        <f>$Q$13</f>
        <v>5</v>
      </c>
      <c r="Q51" s="121"/>
      <c r="R51" s="29"/>
      <c r="S51" s="29"/>
      <c r="T51" s="29"/>
      <c r="U51" s="274">
        <f>$Q$13</f>
        <v>5</v>
      </c>
      <c r="V51" s="29"/>
      <c r="W51" s="29"/>
      <c r="X51" s="29"/>
      <c r="Y51" s="29"/>
    </row>
    <row r="52" spans="1:25" ht="16.5" customHeight="1">
      <c r="B52" s="267"/>
      <c r="C52" s="267"/>
      <c r="D52" s="336"/>
      <c r="E52" s="127" t="s">
        <v>14</v>
      </c>
      <c r="F52" s="19"/>
      <c r="G52" s="126"/>
      <c r="H52" s="32"/>
      <c r="I52" s="32"/>
      <c r="J52" s="19"/>
      <c r="K52" s="19"/>
      <c r="L52" s="19"/>
      <c r="M52" s="19"/>
      <c r="N52" s="19"/>
      <c r="O52" s="121"/>
      <c r="P52" s="281" t="s">
        <v>803</v>
      </c>
      <c r="Q52" s="284" t="s">
        <v>87</v>
      </c>
      <c r="R52" s="29"/>
      <c r="S52" s="29"/>
      <c r="T52" s="29"/>
      <c r="U52" s="281">
        <f>$Q$14</f>
        <v>0</v>
      </c>
      <c r="V52" s="29"/>
      <c r="W52" s="29"/>
      <c r="X52" s="29"/>
      <c r="Y52" s="29"/>
    </row>
    <row r="53" spans="1:25" ht="16.5" customHeight="1" thickBot="1">
      <c r="B53" s="267"/>
      <c r="C53" s="267"/>
      <c r="D53" s="336"/>
      <c r="E53" s="119" t="s">
        <v>775</v>
      </c>
      <c r="F53" s="138" t="s">
        <v>776</v>
      </c>
      <c r="G53" s="461" t="s">
        <v>788</v>
      </c>
      <c r="H53" s="462"/>
      <c r="I53" s="462"/>
      <c r="J53" s="462"/>
      <c r="K53" s="462"/>
      <c r="L53" s="462"/>
      <c r="M53" s="463"/>
      <c r="N53" s="19"/>
      <c r="O53" s="121"/>
      <c r="P53" s="29"/>
      <c r="Q53" s="29"/>
      <c r="R53" s="29"/>
      <c r="S53" s="29"/>
      <c r="T53" s="29"/>
      <c r="U53" s="29"/>
      <c r="V53" s="29"/>
      <c r="W53" s="29"/>
      <c r="X53" s="29"/>
      <c r="Y53" s="29"/>
    </row>
    <row r="54" spans="1:25" ht="16.5" customHeight="1">
      <c r="B54" s="267"/>
      <c r="C54" s="19"/>
      <c r="D54" s="336"/>
      <c r="E54" s="330"/>
      <c r="F54" s="429">
        <v>1</v>
      </c>
      <c r="G54" s="457" t="s">
        <v>241</v>
      </c>
      <c r="H54" s="458"/>
      <c r="I54" s="458" t="s">
        <v>246</v>
      </c>
      <c r="J54" s="458"/>
      <c r="K54" s="458"/>
      <c r="L54" s="458"/>
      <c r="M54" s="446"/>
      <c r="N54" s="19"/>
      <c r="O54" s="121"/>
      <c r="P54" s="29"/>
      <c r="Q54" s="29"/>
      <c r="R54" s="29"/>
      <c r="S54" s="29"/>
      <c r="T54" s="29"/>
      <c r="U54" s="29"/>
      <c r="V54" s="29"/>
      <c r="W54" s="29"/>
      <c r="X54" s="29"/>
      <c r="Y54" s="29"/>
    </row>
    <row r="55" spans="1:25" ht="16.5" customHeight="1">
      <c r="B55" s="267"/>
      <c r="C55" s="19"/>
      <c r="D55" s="336"/>
      <c r="E55" s="449"/>
      <c r="F55" s="464">
        <v>2</v>
      </c>
      <c r="G55" s="451" t="s">
        <v>242</v>
      </c>
      <c r="H55" s="450"/>
      <c r="I55" s="450" t="s">
        <v>659</v>
      </c>
      <c r="J55" s="450"/>
      <c r="K55" s="450"/>
      <c r="L55" s="450"/>
      <c r="M55" s="454"/>
      <c r="N55" s="19"/>
      <c r="O55" s="121"/>
      <c r="P55" s="29"/>
      <c r="Q55" s="29"/>
      <c r="R55" s="29"/>
      <c r="S55" s="29"/>
      <c r="T55" s="29"/>
      <c r="U55" s="29"/>
      <c r="V55" s="29"/>
      <c r="W55" s="29"/>
      <c r="X55" s="29"/>
      <c r="Y55" s="29"/>
    </row>
    <row r="56" spans="1:25" ht="16.5" customHeight="1">
      <c r="B56" s="267"/>
      <c r="C56" s="19"/>
      <c r="D56" s="336"/>
      <c r="E56" s="449"/>
      <c r="F56" s="464">
        <v>3</v>
      </c>
      <c r="G56" s="451" t="s">
        <v>243</v>
      </c>
      <c r="H56" s="450"/>
      <c r="I56" s="453" t="s">
        <v>15</v>
      </c>
      <c r="J56" s="453"/>
      <c r="K56" s="453"/>
      <c r="L56" s="453"/>
      <c r="M56" s="455"/>
      <c r="N56" s="19"/>
      <c r="O56" s="121"/>
      <c r="P56" s="29"/>
      <c r="Q56" s="29"/>
      <c r="R56" s="29"/>
      <c r="S56" s="29"/>
      <c r="T56" s="29"/>
      <c r="U56" s="29"/>
      <c r="V56" s="29"/>
      <c r="W56" s="29"/>
      <c r="X56" s="29"/>
      <c r="Y56" s="29"/>
    </row>
    <row r="57" spans="1:25" ht="16.5" customHeight="1">
      <c r="B57" s="267"/>
      <c r="C57" s="19"/>
      <c r="D57" s="336"/>
      <c r="E57" s="449"/>
      <c r="F57" s="465">
        <v>4</v>
      </c>
      <c r="G57" s="451" t="s">
        <v>245</v>
      </c>
      <c r="H57" s="450"/>
      <c r="I57" s="450" t="s">
        <v>16</v>
      </c>
      <c r="J57" s="450"/>
      <c r="K57" s="450"/>
      <c r="L57" s="450"/>
      <c r="M57" s="454"/>
      <c r="N57" s="19"/>
      <c r="O57" s="121"/>
      <c r="P57" s="29"/>
      <c r="Q57" s="29"/>
      <c r="R57" s="29"/>
      <c r="S57" s="29"/>
      <c r="T57" s="29"/>
      <c r="U57" s="29"/>
      <c r="V57" s="29"/>
      <c r="W57" s="29"/>
      <c r="X57" s="29"/>
      <c r="Y57" s="29"/>
    </row>
    <row r="58" spans="1:25" ht="16.5" customHeight="1">
      <c r="B58" s="267"/>
      <c r="C58" s="19"/>
      <c r="D58" s="336"/>
      <c r="E58" s="616"/>
      <c r="F58" s="465">
        <v>5</v>
      </c>
      <c r="G58" s="670" t="s">
        <v>244</v>
      </c>
      <c r="H58" s="2141"/>
      <c r="I58" s="2134" t="s">
        <v>789</v>
      </c>
      <c r="J58" s="2134"/>
      <c r="K58" s="2134"/>
      <c r="L58" s="2134"/>
      <c r="M58" s="2142"/>
      <c r="N58" s="19"/>
      <c r="O58" s="121"/>
      <c r="P58" s="29"/>
      <c r="Q58" s="29"/>
      <c r="R58" s="29"/>
      <c r="S58" s="29"/>
      <c r="T58" s="29"/>
      <c r="U58" s="29"/>
      <c r="V58" s="29"/>
      <c r="W58" s="29"/>
      <c r="X58" s="29"/>
      <c r="Y58" s="29"/>
    </row>
    <row r="59" spans="1:25" ht="16.5" customHeight="1" thickBot="1">
      <c r="B59" s="267"/>
      <c r="C59" s="19"/>
      <c r="D59" s="336"/>
      <c r="E59" s="331" t="s">
        <v>687</v>
      </c>
      <c r="F59" s="466">
        <v>6</v>
      </c>
      <c r="G59" s="473" t="s">
        <v>1672</v>
      </c>
      <c r="H59" s="459"/>
      <c r="I59" s="459" t="s">
        <v>1673</v>
      </c>
      <c r="J59" s="459"/>
      <c r="K59" s="459"/>
      <c r="L59" s="459"/>
      <c r="M59" s="648"/>
      <c r="N59" s="19"/>
      <c r="O59" s="121"/>
      <c r="P59" s="29"/>
      <c r="Q59" s="29"/>
      <c r="R59" s="29"/>
      <c r="S59" s="29"/>
      <c r="T59" s="29"/>
      <c r="U59" s="29"/>
      <c r="V59" s="29"/>
      <c r="W59" s="29"/>
      <c r="X59" s="29"/>
      <c r="Y59" s="29"/>
    </row>
    <row r="60" spans="1:25" ht="16.5" customHeight="1">
      <c r="B60" s="267"/>
      <c r="C60" s="19"/>
      <c r="D60" s="336"/>
      <c r="E60" s="497" t="s">
        <v>782</v>
      </c>
      <c r="F60" s="838">
        <f>COUNTIF(E54:E59,$U$3)</f>
        <v>1</v>
      </c>
      <c r="G60" s="432"/>
      <c r="H60" s="432"/>
      <c r="I60" s="118"/>
      <c r="J60" s="118"/>
      <c r="K60" s="118"/>
      <c r="L60" s="405"/>
      <c r="M60" s="456"/>
      <c r="N60" s="19"/>
      <c r="O60" s="121"/>
      <c r="P60" s="29"/>
      <c r="Q60" s="29"/>
      <c r="R60" s="29"/>
      <c r="S60" s="29"/>
      <c r="T60" s="29"/>
      <c r="U60" s="29"/>
      <c r="V60" s="29"/>
      <c r="W60" s="29"/>
      <c r="X60" s="29"/>
      <c r="Y60" s="29"/>
    </row>
    <row r="61" spans="1:25" s="29" customFormat="1" ht="8.25" customHeight="1">
      <c r="A61" s="19"/>
      <c r="B61" s="137"/>
      <c r="C61" s="504"/>
      <c r="D61" s="270"/>
      <c r="E61" s="270"/>
      <c r="F61" s="2"/>
      <c r="G61" s="2"/>
      <c r="H61" s="2"/>
      <c r="I61" s="2"/>
      <c r="J61" s="2"/>
      <c r="K61" s="2"/>
      <c r="L61" s="2"/>
      <c r="M61" s="2"/>
      <c r="N61" s="22"/>
      <c r="R61" s="4"/>
      <c r="S61" s="4"/>
      <c r="T61" s="113"/>
    </row>
    <row r="62" spans="1:25" s="29" customFormat="1" ht="21" customHeight="1">
      <c r="A62" s="19"/>
      <c r="B62" s="137"/>
      <c r="C62" s="504"/>
      <c r="E62" s="646" t="s">
        <v>3</v>
      </c>
      <c r="F62" s="647"/>
      <c r="G62" s="2441"/>
      <c r="H62" s="2442"/>
      <c r="I62" s="990"/>
      <c r="J62" s="990"/>
      <c r="K62" s="990"/>
      <c r="L62" s="990"/>
      <c r="M62" s="991"/>
      <c r="N62" s="22"/>
      <c r="Q62" s="284"/>
      <c r="R62" s="4"/>
      <c r="S62" s="4"/>
      <c r="T62" s="113"/>
      <c r="U62" s="511"/>
      <c r="V62" s="113"/>
      <c r="W62" s="113"/>
      <c r="X62" s="113"/>
      <c r="Y62" s="113"/>
    </row>
    <row r="63" spans="1:25" ht="15.6">
      <c r="B63" s="267"/>
      <c r="C63" s="19"/>
      <c r="D63" s="19"/>
      <c r="E63" s="19"/>
      <c r="F63" s="19"/>
      <c r="G63" s="19"/>
      <c r="H63" s="32"/>
      <c r="I63" s="32"/>
      <c r="J63" s="19"/>
      <c r="K63" s="19"/>
      <c r="L63" s="19"/>
      <c r="M63" s="19"/>
      <c r="N63" s="19"/>
      <c r="O63" s="121"/>
      <c r="P63" s="29"/>
      <c r="Q63" s="29"/>
      <c r="R63" s="29"/>
      <c r="S63" s="29"/>
      <c r="T63" s="29"/>
      <c r="U63" s="29"/>
      <c r="V63" s="29"/>
      <c r="W63" s="29"/>
      <c r="X63" s="29"/>
      <c r="Y63" s="29"/>
    </row>
    <row r="64" spans="1:25" ht="15.6">
      <c r="B64" s="875">
        <v>3</v>
      </c>
      <c r="C64" s="23" t="s">
        <v>526</v>
      </c>
      <c r="D64" s="23"/>
      <c r="E64" s="22"/>
      <c r="F64" s="22"/>
      <c r="G64" s="36"/>
      <c r="H64" s="22"/>
      <c r="I64" s="22"/>
      <c r="J64" s="22"/>
      <c r="K64" s="22"/>
      <c r="L64" s="22"/>
      <c r="M64" s="22"/>
      <c r="N64" s="22"/>
      <c r="O64" s="121"/>
      <c r="P64" s="147"/>
      <c r="Q64" s="147"/>
      <c r="R64" s="147"/>
      <c r="S64" s="147"/>
      <c r="T64" s="147"/>
      <c r="U64" s="147"/>
      <c r="V64" s="147"/>
      <c r="W64" s="147"/>
      <c r="X64" s="147"/>
      <c r="Y64" s="147"/>
    </row>
    <row r="65" spans="2:25" ht="16.5" customHeight="1" thickBot="1">
      <c r="B65" s="23"/>
      <c r="C65" s="23"/>
      <c r="D65" s="129"/>
      <c r="E65" s="129"/>
      <c r="F65" s="19"/>
      <c r="G65" s="441"/>
      <c r="H65" s="19"/>
      <c r="I65" s="19"/>
      <c r="J65" s="19"/>
      <c r="K65" s="22"/>
      <c r="L65" s="148" t="s">
        <v>2</v>
      </c>
      <c r="M65" s="328">
        <f>重み!M65</f>
        <v>0.2</v>
      </c>
      <c r="N65" s="19"/>
      <c r="O65" s="29">
        <f t="shared" ref="O65:Y65" si="3">C65</f>
        <v>0</v>
      </c>
      <c r="P65" s="29">
        <f t="shared" si="3"/>
        <v>0</v>
      </c>
      <c r="Q65" s="29">
        <f t="shared" si="3"/>
        <v>0</v>
      </c>
      <c r="R65" s="29">
        <f t="shared" si="3"/>
        <v>0</v>
      </c>
      <c r="S65" s="29">
        <f t="shared" si="3"/>
        <v>0</v>
      </c>
      <c r="T65" s="29">
        <f t="shared" si="3"/>
        <v>0</v>
      </c>
      <c r="U65" s="29">
        <f t="shared" si="3"/>
        <v>0</v>
      </c>
      <c r="V65" s="29">
        <f t="shared" si="3"/>
        <v>0</v>
      </c>
      <c r="W65" s="29">
        <f t="shared" si="3"/>
        <v>0</v>
      </c>
      <c r="X65" s="29" t="str">
        <f t="shared" si="3"/>
        <v>重み係数＝</v>
      </c>
      <c r="Y65" s="29">
        <f t="shared" si="3"/>
        <v>0.2</v>
      </c>
    </row>
    <row r="66" spans="2:25" ht="16.5" customHeight="1" thickBot="1">
      <c r="B66" s="267"/>
      <c r="C66" s="267"/>
      <c r="D66" s="865">
        <f>ROUND(IF(F81&lt;=1,3,IF(F81&lt;=2,4,5)),0)</f>
        <v>5</v>
      </c>
      <c r="E66" s="2934" t="s">
        <v>415</v>
      </c>
      <c r="F66" s="2935"/>
      <c r="G66" s="2935"/>
      <c r="H66" s="2935"/>
      <c r="I66" s="2935"/>
      <c r="J66" s="2935"/>
      <c r="K66" s="2935"/>
      <c r="L66" s="2935"/>
      <c r="M66" s="2936"/>
      <c r="N66" s="19"/>
      <c r="O66" s="121"/>
      <c r="P66" s="121"/>
      <c r="Q66" s="121"/>
      <c r="R66" s="29"/>
      <c r="S66" s="29"/>
      <c r="T66" s="29"/>
      <c r="U66" s="29"/>
      <c r="V66" s="29"/>
      <c r="W66" s="29"/>
      <c r="X66" s="29"/>
      <c r="Y66" s="29"/>
    </row>
    <row r="67" spans="2:25" ht="16.5" customHeight="1">
      <c r="B67" s="267"/>
      <c r="C67" s="267"/>
      <c r="D67" s="25" t="str">
        <f>IF(ROUNDDOWN($D$66,0)=$Q$9,$S$9,$R$9)</f>
        <v>　レベル　1</v>
      </c>
      <c r="E67" s="438" t="s">
        <v>409</v>
      </c>
      <c r="F67" s="436"/>
      <c r="G67" s="436"/>
      <c r="H67" s="436"/>
      <c r="I67" s="436"/>
      <c r="J67" s="436"/>
      <c r="K67" s="436"/>
      <c r="L67" s="436"/>
      <c r="M67" s="437"/>
      <c r="N67" s="19"/>
      <c r="O67" s="121"/>
      <c r="P67" s="274" t="s">
        <v>803</v>
      </c>
      <c r="Q67" s="121"/>
      <c r="R67" s="29"/>
      <c r="S67" s="29"/>
      <c r="T67" s="29"/>
      <c r="U67" s="274">
        <f>$Q$9</f>
        <v>1</v>
      </c>
      <c r="V67" s="29"/>
      <c r="W67" s="29"/>
      <c r="X67" s="29"/>
      <c r="Y67" s="29"/>
    </row>
    <row r="68" spans="2:25" ht="16.5" customHeight="1">
      <c r="B68" s="267"/>
      <c r="C68" s="267"/>
      <c r="D68" s="28" t="str">
        <f>IF(ROUNDDOWN($D$66,0)=$Q$10,$S$10,$R$10)</f>
        <v>　レベル　2</v>
      </c>
      <c r="E68" s="439" t="s">
        <v>409</v>
      </c>
      <c r="F68" s="430"/>
      <c r="G68" s="430"/>
      <c r="H68" s="430"/>
      <c r="I68" s="430"/>
      <c r="J68" s="430"/>
      <c r="K68" s="430"/>
      <c r="L68" s="430"/>
      <c r="M68" s="431"/>
      <c r="N68" s="19"/>
      <c r="O68" s="121"/>
      <c r="P68" s="274" t="s">
        <v>803</v>
      </c>
      <c r="Q68" s="121"/>
      <c r="R68" s="29"/>
      <c r="S68" s="29"/>
      <c r="T68" s="29"/>
      <c r="U68" s="274">
        <f>$Q$10</f>
        <v>2</v>
      </c>
      <c r="V68" s="29"/>
      <c r="W68" s="29"/>
      <c r="X68" s="29"/>
      <c r="Y68" s="29"/>
    </row>
    <row r="69" spans="2:25" ht="16.5" customHeight="1">
      <c r="B69" s="267"/>
      <c r="C69" s="267"/>
      <c r="D69" s="28" t="str">
        <f>IF(ROUNDDOWN($D$66,0)=$Q$11,$S$11,$R$11)</f>
        <v>　レベル　3</v>
      </c>
      <c r="E69" s="439" t="s">
        <v>862</v>
      </c>
      <c r="F69" s="430"/>
      <c r="G69" s="430"/>
      <c r="H69" s="430"/>
      <c r="I69" s="430"/>
      <c r="J69" s="430"/>
      <c r="K69" s="430"/>
      <c r="L69" s="430"/>
      <c r="M69" s="431"/>
      <c r="N69" s="19"/>
      <c r="O69" s="121"/>
      <c r="P69" s="274">
        <f>$Q$11</f>
        <v>3</v>
      </c>
      <c r="Q69" s="121"/>
      <c r="R69" s="29"/>
      <c r="S69" s="29"/>
      <c r="T69" s="29"/>
      <c r="U69" s="274">
        <f>$Q$11</f>
        <v>3</v>
      </c>
      <c r="V69" s="29"/>
      <c r="W69" s="29"/>
      <c r="X69" s="29"/>
      <c r="Y69" s="29"/>
    </row>
    <row r="70" spans="2:25" ht="16.5" customHeight="1">
      <c r="B70" s="267"/>
      <c r="C70" s="267"/>
      <c r="D70" s="28" t="str">
        <f>IF(ROUNDDOWN($D$66,0)=$Q$12,$S$12,$R$12)</f>
        <v>　レベル　4</v>
      </c>
      <c r="E70" s="439" t="s">
        <v>860</v>
      </c>
      <c r="F70" s="430"/>
      <c r="G70" s="430"/>
      <c r="H70" s="430"/>
      <c r="I70" s="430"/>
      <c r="J70" s="430"/>
      <c r="K70" s="430"/>
      <c r="L70" s="430"/>
      <c r="M70" s="431"/>
      <c r="N70" s="19"/>
      <c r="O70" s="121"/>
      <c r="P70" s="274">
        <f>$Q$12</f>
        <v>4</v>
      </c>
      <c r="Q70" s="121"/>
      <c r="R70" s="29"/>
      <c r="S70" s="29"/>
      <c r="T70" s="29"/>
      <c r="U70" s="274">
        <f>$Q$12</f>
        <v>4</v>
      </c>
      <c r="V70" s="29"/>
      <c r="W70" s="29"/>
      <c r="X70" s="29"/>
      <c r="Y70" s="29"/>
    </row>
    <row r="71" spans="2:25" ht="16.5" customHeight="1">
      <c r="B71" s="267"/>
      <c r="C71" s="267"/>
      <c r="D71" s="26" t="str">
        <f>IF(ROUNDDOWN($D$66,0)=$Q$13,$S$13,$R$13)</f>
        <v>■レベル　5</v>
      </c>
      <c r="E71" s="440" t="s">
        <v>861</v>
      </c>
      <c r="F71" s="426"/>
      <c r="G71" s="426"/>
      <c r="H71" s="426"/>
      <c r="I71" s="426"/>
      <c r="J71" s="426"/>
      <c r="K71" s="426"/>
      <c r="L71" s="426"/>
      <c r="M71" s="427"/>
      <c r="N71" s="19"/>
      <c r="O71" s="121"/>
      <c r="P71" s="274">
        <f>$Q$13</f>
        <v>5</v>
      </c>
      <c r="Q71" s="121"/>
      <c r="R71" s="29"/>
      <c r="S71" s="29"/>
      <c r="T71" s="29"/>
      <c r="U71" s="274">
        <f>$Q$13</f>
        <v>5</v>
      </c>
      <c r="V71" s="29"/>
      <c r="W71" s="29"/>
      <c r="X71" s="29"/>
      <c r="Y71" s="29"/>
    </row>
    <row r="72" spans="2:25" ht="16.5" customHeight="1">
      <c r="B72" s="19"/>
      <c r="C72" s="19"/>
      <c r="D72" s="19"/>
      <c r="E72" s="127" t="s">
        <v>14</v>
      </c>
      <c r="F72" s="19"/>
      <c r="G72" s="126"/>
      <c r="H72" s="32"/>
      <c r="I72" s="32"/>
      <c r="J72" s="19"/>
      <c r="K72" s="19"/>
      <c r="L72" s="19"/>
      <c r="M72" s="19"/>
      <c r="N72" s="19"/>
      <c r="O72" s="29"/>
      <c r="P72" s="281" t="s">
        <v>803</v>
      </c>
      <c r="Q72" s="284" t="s">
        <v>87</v>
      </c>
      <c r="R72" s="29"/>
      <c r="S72" s="29"/>
      <c r="T72" s="29"/>
      <c r="U72" s="281">
        <f>$Q$14</f>
        <v>0</v>
      </c>
      <c r="V72" s="29"/>
      <c r="W72" s="29"/>
      <c r="X72" s="29"/>
      <c r="Y72" s="29"/>
    </row>
    <row r="73" spans="2:25" ht="16.2" thickBot="1">
      <c r="B73" s="267"/>
      <c r="C73" s="336"/>
      <c r="D73" s="336"/>
      <c r="E73" s="119" t="s">
        <v>775</v>
      </c>
      <c r="F73" s="842" t="s">
        <v>17</v>
      </c>
      <c r="G73" s="428" t="s">
        <v>776</v>
      </c>
      <c r="H73" s="3003" t="s">
        <v>686</v>
      </c>
      <c r="I73" s="3004"/>
      <c r="J73" s="3004"/>
      <c r="K73" s="3004"/>
      <c r="L73" s="3004"/>
      <c r="M73" s="3005"/>
      <c r="N73" s="19"/>
      <c r="O73" s="29"/>
      <c r="P73" s="29"/>
      <c r="Q73" s="29"/>
      <c r="R73" s="29"/>
      <c r="S73" s="29"/>
      <c r="T73" s="29"/>
      <c r="U73" s="29"/>
      <c r="V73" s="29"/>
      <c r="W73" s="29"/>
      <c r="X73" s="29"/>
      <c r="Y73" s="29"/>
    </row>
    <row r="74" spans="2:25" ht="15.6">
      <c r="B74" s="267"/>
      <c r="C74" s="336"/>
      <c r="D74" s="336"/>
      <c r="E74" s="330" t="s">
        <v>687</v>
      </c>
      <c r="F74" s="3024" t="s">
        <v>635</v>
      </c>
      <c r="G74" s="618">
        <v>1</v>
      </c>
      <c r="H74" s="457" t="s">
        <v>161</v>
      </c>
      <c r="I74" s="458"/>
      <c r="J74" s="458"/>
      <c r="K74" s="458"/>
      <c r="L74" s="458"/>
      <c r="M74" s="446"/>
      <c r="N74" s="19"/>
      <c r="O74" s="29"/>
      <c r="P74" s="29"/>
      <c r="Q74" s="29"/>
      <c r="R74" s="29"/>
      <c r="S74" s="29"/>
      <c r="T74" s="29"/>
      <c r="U74" s="29"/>
      <c r="V74" s="29"/>
      <c r="W74" s="29"/>
      <c r="X74" s="29"/>
      <c r="Y74" s="29"/>
    </row>
    <row r="75" spans="2:25" ht="15.6">
      <c r="B75" s="267"/>
      <c r="C75" s="336"/>
      <c r="D75" s="336"/>
      <c r="E75" s="449"/>
      <c r="F75" s="3025"/>
      <c r="G75" s="483">
        <v>2</v>
      </c>
      <c r="H75" s="451" t="s">
        <v>790</v>
      </c>
      <c r="I75" s="450"/>
      <c r="J75" s="450"/>
      <c r="K75" s="450"/>
      <c r="L75" s="450"/>
      <c r="M75" s="454"/>
      <c r="N75" s="19"/>
      <c r="O75" s="29"/>
      <c r="P75" s="29"/>
      <c r="Q75" s="29"/>
      <c r="R75" s="29"/>
      <c r="S75" s="29"/>
      <c r="T75" s="29"/>
      <c r="U75" s="29"/>
      <c r="V75" s="29"/>
      <c r="W75" s="29"/>
      <c r="X75" s="29"/>
      <c r="Y75" s="29"/>
    </row>
    <row r="76" spans="2:25" ht="15.6">
      <c r="B76" s="267"/>
      <c r="C76" s="336"/>
      <c r="D76" s="336"/>
      <c r="E76" s="449" t="s">
        <v>687</v>
      </c>
      <c r="F76" s="3026"/>
      <c r="G76" s="483">
        <v>3</v>
      </c>
      <c r="H76" s="451" t="s">
        <v>162</v>
      </c>
      <c r="I76" s="450"/>
      <c r="J76" s="450"/>
      <c r="K76" s="450"/>
      <c r="L76" s="450"/>
      <c r="M76" s="454"/>
      <c r="N76" s="19"/>
      <c r="O76" s="29"/>
      <c r="P76" s="29"/>
      <c r="Q76" s="29"/>
      <c r="R76" s="29"/>
      <c r="S76" s="29"/>
      <c r="T76" s="29"/>
      <c r="U76" s="29"/>
      <c r="V76" s="29"/>
      <c r="W76" s="29"/>
      <c r="X76" s="29"/>
      <c r="Y76" s="29"/>
    </row>
    <row r="77" spans="2:25" ht="15.6">
      <c r="B77" s="267"/>
      <c r="C77" s="336"/>
      <c r="D77" s="336"/>
      <c r="E77" s="449" t="s">
        <v>687</v>
      </c>
      <c r="F77" s="3021" t="s">
        <v>148</v>
      </c>
      <c r="G77" s="1097">
        <v>4</v>
      </c>
      <c r="H77" s="451" t="s">
        <v>147</v>
      </c>
      <c r="I77" s="450"/>
      <c r="J77" s="450"/>
      <c r="K77" s="450"/>
      <c r="L77" s="450"/>
      <c r="M77" s="454"/>
      <c r="N77" s="19"/>
      <c r="O77" s="29"/>
      <c r="P77" s="29"/>
      <c r="Q77" s="29"/>
      <c r="R77" s="29"/>
      <c r="S77" s="29"/>
      <c r="T77" s="29"/>
      <c r="U77" s="29"/>
      <c r="V77" s="29"/>
      <c r="W77" s="29"/>
      <c r="X77" s="29"/>
      <c r="Y77" s="29"/>
    </row>
    <row r="78" spans="2:25" ht="15.6">
      <c r="B78" s="267"/>
      <c r="C78" s="336"/>
      <c r="D78" s="336"/>
      <c r="E78" s="449"/>
      <c r="F78" s="3027"/>
      <c r="G78" s="3029">
        <v>5</v>
      </c>
      <c r="H78" s="451" t="s">
        <v>163</v>
      </c>
      <c r="I78" s="450"/>
      <c r="J78" s="450"/>
      <c r="K78" s="450"/>
      <c r="L78" s="450"/>
      <c r="M78" s="454"/>
      <c r="N78" s="19"/>
      <c r="O78" s="2549" t="s">
        <v>1926</v>
      </c>
      <c r="P78" s="29"/>
      <c r="Q78" s="29"/>
      <c r="R78" s="29"/>
      <c r="S78" s="29"/>
      <c r="T78" s="29"/>
      <c r="U78" s="29"/>
      <c r="V78" s="29"/>
      <c r="W78" s="29"/>
      <c r="X78" s="29"/>
      <c r="Y78" s="29"/>
    </row>
    <row r="79" spans="2:25" ht="15.6" hidden="1">
      <c r="B79" s="267"/>
      <c r="C79" s="336"/>
      <c r="D79" s="336"/>
      <c r="E79" s="449"/>
      <c r="F79" s="3026"/>
      <c r="G79" s="3026"/>
      <c r="H79" s="451" t="s">
        <v>2070</v>
      </c>
      <c r="I79" s="450"/>
      <c r="J79" s="450"/>
      <c r="K79" s="450"/>
      <c r="L79" s="450"/>
      <c r="M79" s="454"/>
      <c r="N79" s="19"/>
      <c r="O79" s="2549" t="s">
        <v>1927</v>
      </c>
      <c r="P79" s="29"/>
      <c r="Q79" s="29"/>
      <c r="R79" s="29"/>
      <c r="S79" s="29"/>
      <c r="T79" s="29"/>
      <c r="U79" s="29"/>
      <c r="V79" s="29"/>
      <c r="W79" s="29"/>
      <c r="X79" s="29"/>
      <c r="Y79" s="29"/>
    </row>
    <row r="80" spans="2:25" ht="16.2" thickBot="1">
      <c r="B80" s="267"/>
      <c r="C80" s="336"/>
      <c r="D80" s="336"/>
      <c r="E80" s="331"/>
      <c r="F80" s="523" t="s">
        <v>835</v>
      </c>
      <c r="G80" s="483">
        <v>6</v>
      </c>
      <c r="H80" s="460" t="s">
        <v>101</v>
      </c>
      <c r="I80" s="444"/>
      <c r="J80" s="444"/>
      <c r="K80" s="444"/>
      <c r="L80" s="444"/>
      <c r="M80" s="443"/>
      <c r="N80" s="19"/>
      <c r="O80" s="29"/>
      <c r="P80" s="29"/>
      <c r="Q80" s="29"/>
      <c r="R80" s="29"/>
      <c r="S80" s="29"/>
      <c r="T80" s="29"/>
      <c r="U80" s="29"/>
      <c r="V80" s="29"/>
      <c r="W80" s="29"/>
      <c r="X80" s="29"/>
      <c r="Y80" s="29"/>
    </row>
    <row r="81" spans="1:25" ht="15.6">
      <c r="B81" s="267"/>
      <c r="C81" s="336"/>
      <c r="D81" s="336"/>
      <c r="E81" s="497" t="s">
        <v>782</v>
      </c>
      <c r="F81" s="838">
        <f>COUNTIF(E74:E80,"○")</f>
        <v>3</v>
      </c>
      <c r="G81" s="423"/>
      <c r="H81" s="423"/>
      <c r="I81" s="325"/>
      <c r="J81" s="326"/>
      <c r="K81" s="325"/>
      <c r="L81" s="326"/>
      <c r="M81" s="327"/>
      <c r="N81" s="19"/>
      <c r="O81" s="29"/>
      <c r="P81" s="29"/>
      <c r="Q81" s="29"/>
      <c r="R81" s="29"/>
      <c r="S81" s="29"/>
      <c r="T81" s="29"/>
      <c r="U81" s="29"/>
      <c r="V81" s="29"/>
      <c r="W81" s="29"/>
      <c r="X81" s="29"/>
      <c r="Y81" s="29"/>
    </row>
    <row r="82" spans="1:25" s="29" customFormat="1" ht="8.25" customHeight="1">
      <c r="A82" s="19"/>
      <c r="B82" s="137"/>
      <c r="C82" s="504"/>
      <c r="D82" s="270"/>
      <c r="E82" s="270"/>
      <c r="F82" s="2"/>
      <c r="G82" s="2"/>
      <c r="H82" s="2"/>
      <c r="I82" s="2"/>
      <c r="J82" s="2"/>
      <c r="K82" s="2"/>
      <c r="L82" s="2"/>
      <c r="M82" s="2"/>
      <c r="N82" s="22"/>
      <c r="R82" s="4"/>
      <c r="S82" s="4"/>
      <c r="T82" s="113"/>
    </row>
    <row r="83" spans="1:25" s="29" customFormat="1" ht="21" customHeight="1">
      <c r="A83" s="19"/>
      <c r="B83" s="137"/>
      <c r="C83" s="504"/>
      <c r="E83" s="646" t="s">
        <v>3</v>
      </c>
      <c r="F83" s="647"/>
      <c r="G83" s="2441"/>
      <c r="H83" s="2442"/>
      <c r="I83" s="990"/>
      <c r="J83" s="990"/>
      <c r="K83" s="990"/>
      <c r="L83" s="990"/>
      <c r="M83" s="991"/>
      <c r="N83" s="22"/>
      <c r="Q83" s="284"/>
      <c r="R83" s="4"/>
      <c r="S83" s="4"/>
      <c r="T83" s="113"/>
      <c r="U83" s="511"/>
      <c r="V83" s="113"/>
      <c r="W83" s="113"/>
      <c r="X83" s="113"/>
      <c r="Y83" s="113"/>
    </row>
    <row r="84" spans="1:25" ht="15.6">
      <c r="B84" s="267"/>
      <c r="C84" s="336"/>
      <c r="D84" s="336"/>
      <c r="E84" s="442"/>
      <c r="F84" s="442"/>
      <c r="G84" s="442"/>
      <c r="H84" s="442"/>
      <c r="I84" s="442"/>
      <c r="J84" s="442"/>
      <c r="K84" s="442"/>
      <c r="L84" s="442"/>
      <c r="M84" s="442"/>
      <c r="N84" s="442"/>
      <c r="O84" s="433"/>
      <c r="P84" s="29"/>
      <c r="Q84" s="29"/>
      <c r="R84" s="29"/>
      <c r="S84" s="29"/>
      <c r="T84" s="29"/>
      <c r="U84" s="29"/>
      <c r="V84" s="29"/>
      <c r="W84" s="29"/>
      <c r="X84" s="29"/>
      <c r="Y84" s="29"/>
    </row>
    <row r="85" spans="1:25" ht="15.6">
      <c r="B85" s="875">
        <v>4</v>
      </c>
      <c r="C85" s="23" t="str">
        <f>重み!C66</f>
        <v>地域の資源の活用と住文化の継承</v>
      </c>
      <c r="D85" s="23"/>
      <c r="E85" s="22"/>
      <c r="F85" s="22"/>
      <c r="G85" s="36"/>
      <c r="H85" s="22"/>
      <c r="I85" s="22"/>
      <c r="J85" s="22"/>
      <c r="K85" s="22"/>
      <c r="L85" s="22"/>
      <c r="M85" s="22"/>
      <c r="N85" s="22"/>
      <c r="O85" s="147"/>
      <c r="P85" s="147"/>
      <c r="Q85" s="147"/>
      <c r="R85" s="147"/>
      <c r="S85" s="147"/>
      <c r="T85" s="147"/>
      <c r="U85" s="147"/>
      <c r="V85" s="147"/>
      <c r="W85" s="147"/>
      <c r="X85" s="147"/>
      <c r="Y85" s="147"/>
    </row>
    <row r="86" spans="1:25" ht="16.5" customHeight="1" thickBot="1">
      <c r="B86" s="23"/>
      <c r="C86" s="23"/>
      <c r="D86" s="129"/>
      <c r="E86" s="129"/>
      <c r="F86" s="19"/>
      <c r="G86" s="441"/>
      <c r="H86" s="19"/>
      <c r="I86" s="19"/>
      <c r="J86" s="19"/>
      <c r="K86" s="22"/>
      <c r="L86" s="148" t="s">
        <v>2</v>
      </c>
      <c r="M86" s="328">
        <f>重み!M66</f>
        <v>0.2</v>
      </c>
      <c r="N86" s="19"/>
      <c r="O86" s="29">
        <f t="shared" ref="O86:Y86" si="4">C86</f>
        <v>0</v>
      </c>
      <c r="P86" s="29">
        <f t="shared" si="4"/>
        <v>0</v>
      </c>
      <c r="Q86" s="29">
        <f t="shared" si="4"/>
        <v>0</v>
      </c>
      <c r="R86" s="29">
        <f t="shared" si="4"/>
        <v>0</v>
      </c>
      <c r="S86" s="29">
        <f t="shared" si="4"/>
        <v>0</v>
      </c>
      <c r="T86" s="29">
        <f t="shared" si="4"/>
        <v>0</v>
      </c>
      <c r="U86" s="29">
        <f t="shared" si="4"/>
        <v>0</v>
      </c>
      <c r="V86" s="29">
        <f t="shared" si="4"/>
        <v>0</v>
      </c>
      <c r="W86" s="29">
        <f t="shared" si="4"/>
        <v>0</v>
      </c>
      <c r="X86" s="29" t="str">
        <f t="shared" si="4"/>
        <v>重み係数＝</v>
      </c>
      <c r="Y86" s="29">
        <f t="shared" si="4"/>
        <v>0.2</v>
      </c>
    </row>
    <row r="87" spans="1:25" ht="16.5" customHeight="1" thickBot="1">
      <c r="B87" s="267"/>
      <c r="C87" s="267"/>
      <c r="D87" s="865">
        <f>IF(メイン!C11=メイン!I10,採点Q3!E94,採点Q3!E108)</f>
        <v>3</v>
      </c>
      <c r="E87" s="2934" t="s">
        <v>415</v>
      </c>
      <c r="F87" s="2935"/>
      <c r="G87" s="2935"/>
      <c r="H87" s="2935"/>
      <c r="I87" s="2935"/>
      <c r="J87" s="2935"/>
      <c r="K87" s="2935"/>
      <c r="L87" s="2935"/>
      <c r="M87" s="2936"/>
      <c r="N87" s="19"/>
      <c r="O87" s="121"/>
      <c r="P87" s="147"/>
      <c r="Q87" s="121"/>
      <c r="R87" s="29"/>
      <c r="S87" s="29"/>
      <c r="T87" s="29"/>
      <c r="U87" s="147"/>
      <c r="V87" s="29"/>
      <c r="W87" s="29"/>
      <c r="X87" s="29"/>
      <c r="Y87" s="29"/>
    </row>
    <row r="88" spans="1:25" ht="16.5" customHeight="1">
      <c r="B88" s="267"/>
      <c r="C88" s="267"/>
      <c r="D88" s="25" t="str">
        <f>IF(ROUNDDOWN($D$87,0)=$Q$9,$S$9,$R$9)</f>
        <v>　レベル　1</v>
      </c>
      <c r="E88" s="438" t="s">
        <v>409</v>
      </c>
      <c r="F88" s="436"/>
      <c r="G88" s="436"/>
      <c r="H88" s="436"/>
      <c r="I88" s="436"/>
      <c r="J88" s="436"/>
      <c r="K88" s="436"/>
      <c r="L88" s="436"/>
      <c r="M88" s="437"/>
      <c r="N88" s="19"/>
      <c r="O88" s="2549" t="s">
        <v>1926</v>
      </c>
      <c r="P88" s="274" t="s">
        <v>803</v>
      </c>
      <c r="Q88" s="121"/>
      <c r="R88" s="29"/>
      <c r="S88" s="29"/>
      <c r="T88" s="29"/>
      <c r="U88" s="274">
        <f>$Q$9</f>
        <v>1</v>
      </c>
      <c r="V88" s="29"/>
      <c r="W88" s="29"/>
      <c r="X88" s="29"/>
      <c r="Y88" s="29"/>
    </row>
    <row r="89" spans="1:25" ht="16.5" customHeight="1">
      <c r="B89" s="267"/>
      <c r="C89" s="267"/>
      <c r="D89" s="28" t="str">
        <f>IF(ROUNDDOWN($D$87,0)=$Q$10,$S$10,$R$10)</f>
        <v>　レベル　2</v>
      </c>
      <c r="E89" s="439" t="s">
        <v>409</v>
      </c>
      <c r="F89" s="430"/>
      <c r="G89" s="430"/>
      <c r="H89" s="430"/>
      <c r="I89" s="430"/>
      <c r="J89" s="430"/>
      <c r="K89" s="430"/>
      <c r="L89" s="430"/>
      <c r="M89" s="431"/>
      <c r="N89" s="19"/>
      <c r="O89" s="121"/>
      <c r="P89" s="274" t="s">
        <v>803</v>
      </c>
      <c r="Q89" s="121"/>
      <c r="R89" s="29"/>
      <c r="S89" s="29"/>
      <c r="T89" s="29"/>
      <c r="U89" s="274">
        <f>$Q$10</f>
        <v>2</v>
      </c>
      <c r="V89" s="29"/>
      <c r="W89" s="29"/>
      <c r="X89" s="29"/>
      <c r="Y89" s="29"/>
    </row>
    <row r="90" spans="1:25" ht="16.5" customHeight="1">
      <c r="B90" s="267"/>
      <c r="C90" s="267"/>
      <c r="D90" s="28" t="str">
        <f>IF(ROUNDDOWN($D$87,0)=$Q$11,$S$11,$R$11)</f>
        <v>■レベル　3</v>
      </c>
      <c r="E90" s="439" t="s">
        <v>247</v>
      </c>
      <c r="F90" s="430"/>
      <c r="G90" s="430"/>
      <c r="H90" s="430"/>
      <c r="I90" s="430"/>
      <c r="J90" s="430"/>
      <c r="K90" s="430"/>
      <c r="L90" s="430"/>
      <c r="M90" s="431"/>
      <c r="N90" s="19"/>
      <c r="O90" s="121"/>
      <c r="P90" s="274">
        <f>$Q$11</f>
        <v>3</v>
      </c>
      <c r="Q90" s="121"/>
      <c r="R90" s="29"/>
      <c r="S90" s="29"/>
      <c r="T90" s="29"/>
      <c r="U90" s="274">
        <f>$Q$11</f>
        <v>3</v>
      </c>
      <c r="V90" s="29"/>
      <c r="W90" s="29"/>
      <c r="X90" s="29"/>
      <c r="Y90" s="29"/>
    </row>
    <row r="91" spans="1:25" ht="16.5" customHeight="1">
      <c r="B91" s="267"/>
      <c r="C91" s="267"/>
      <c r="D91" s="28" t="str">
        <f>IF(ROUNDDOWN($D$87,0)=$Q$12,$S$12,$R$12)</f>
        <v>　レベル　4</v>
      </c>
      <c r="E91" s="439" t="s">
        <v>248</v>
      </c>
      <c r="F91" s="430"/>
      <c r="G91" s="430"/>
      <c r="H91" s="430"/>
      <c r="I91" s="430"/>
      <c r="J91" s="430"/>
      <c r="K91" s="430"/>
      <c r="L91" s="430"/>
      <c r="M91" s="431"/>
      <c r="N91" s="19"/>
      <c r="O91" s="121"/>
      <c r="P91" s="274">
        <f>$Q$12</f>
        <v>4</v>
      </c>
      <c r="Q91" s="121"/>
      <c r="R91" s="29"/>
      <c r="S91" s="29"/>
      <c r="T91" s="29"/>
      <c r="U91" s="274">
        <f>$Q$12</f>
        <v>4</v>
      </c>
      <c r="V91" s="29"/>
      <c r="W91" s="29"/>
      <c r="X91" s="29"/>
      <c r="Y91" s="29"/>
    </row>
    <row r="92" spans="1:25" ht="16.5" customHeight="1">
      <c r="B92" s="267"/>
      <c r="C92" s="267"/>
      <c r="D92" s="26" t="str">
        <f>IF(ROUNDDOWN($D$87,0)=$Q$13,$S$13,$R$13)</f>
        <v>　レベル　5</v>
      </c>
      <c r="E92" s="440" t="s">
        <v>249</v>
      </c>
      <c r="F92" s="426"/>
      <c r="G92" s="426"/>
      <c r="H92" s="426"/>
      <c r="I92" s="426"/>
      <c r="J92" s="426"/>
      <c r="K92" s="426"/>
      <c r="L92" s="426"/>
      <c r="M92" s="427"/>
      <c r="N92" s="19"/>
      <c r="O92" s="121"/>
      <c r="P92" s="274">
        <f>$Q$13</f>
        <v>5</v>
      </c>
      <c r="Q92" s="121"/>
      <c r="R92" s="29"/>
      <c r="S92" s="29"/>
      <c r="T92" s="29"/>
      <c r="U92" s="274">
        <f>$Q$13</f>
        <v>5</v>
      </c>
      <c r="V92" s="29"/>
      <c r="W92" s="29"/>
      <c r="X92" s="29"/>
      <c r="Y92" s="29"/>
    </row>
    <row r="93" spans="1:25" ht="16.5" customHeight="1">
      <c r="B93" s="267"/>
      <c r="C93" s="336"/>
      <c r="D93" s="336"/>
      <c r="E93" s="127" t="s">
        <v>14</v>
      </c>
      <c r="F93" s="19"/>
      <c r="G93" s="126"/>
      <c r="H93" s="32"/>
      <c r="I93" s="32"/>
      <c r="J93" s="19"/>
      <c r="K93" s="19"/>
      <c r="L93" s="19"/>
      <c r="M93" s="19"/>
      <c r="N93" s="19"/>
      <c r="O93" s="121"/>
      <c r="P93" s="281" t="s">
        <v>803</v>
      </c>
      <c r="Q93" s="284" t="s">
        <v>87</v>
      </c>
      <c r="R93" s="29"/>
      <c r="S93" s="29"/>
      <c r="T93" s="29"/>
      <c r="U93" s="29"/>
      <c r="V93" s="29"/>
      <c r="W93" s="29"/>
      <c r="X93" s="29"/>
      <c r="Y93" s="29"/>
    </row>
    <row r="94" spans="1:25" ht="16.2" thickBot="1">
      <c r="B94" s="267"/>
      <c r="C94" s="336"/>
      <c r="D94" s="336"/>
      <c r="E94" s="2503">
        <f>ROUND(IF(F100=0,3,IF(F100&lt;=1,4,5)),0)</f>
        <v>3</v>
      </c>
      <c r="F94" s="462" t="s">
        <v>17</v>
      </c>
      <c r="G94" s="428" t="s">
        <v>776</v>
      </c>
      <c r="H94" s="461" t="s">
        <v>686</v>
      </c>
      <c r="I94" s="462"/>
      <c r="J94" s="462"/>
      <c r="K94" s="462"/>
      <c r="L94" s="462"/>
      <c r="M94" s="463"/>
      <c r="N94" s="19"/>
      <c r="O94" s="121"/>
      <c r="P94" s="29"/>
      <c r="Q94" s="29"/>
      <c r="R94" s="29"/>
      <c r="S94" s="29"/>
      <c r="T94" s="29"/>
      <c r="U94" s="29"/>
      <c r="V94" s="29"/>
      <c r="W94" s="29"/>
      <c r="X94" s="29"/>
      <c r="Y94" s="29"/>
    </row>
    <row r="95" spans="1:25" ht="15.6">
      <c r="B95" s="267"/>
      <c r="C95" s="336"/>
      <c r="D95" s="336"/>
      <c r="E95" s="330"/>
      <c r="F95" s="2986" t="s">
        <v>660</v>
      </c>
      <c r="G95" s="429">
        <v>1</v>
      </c>
      <c r="H95" s="457" t="s">
        <v>791</v>
      </c>
      <c r="I95" s="458"/>
      <c r="J95" s="458"/>
      <c r="K95" s="458"/>
      <c r="L95" s="458"/>
      <c r="M95" s="446"/>
      <c r="N95" s="19"/>
      <c r="O95" s="121"/>
      <c r="P95" s="29"/>
      <c r="Q95" s="29"/>
      <c r="R95" s="29"/>
      <c r="S95" s="29"/>
      <c r="T95" s="29"/>
      <c r="U95" s="29"/>
      <c r="V95" s="29"/>
      <c r="W95" s="29"/>
      <c r="X95" s="29"/>
      <c r="Y95" s="29"/>
    </row>
    <row r="96" spans="1:25" ht="15.6">
      <c r="B96" s="267"/>
      <c r="C96" s="336"/>
      <c r="D96" s="336"/>
      <c r="E96" s="449"/>
      <c r="F96" s="2941"/>
      <c r="G96" s="464">
        <v>2</v>
      </c>
      <c r="H96" s="2995" t="s">
        <v>792</v>
      </c>
      <c r="I96" s="2996"/>
      <c r="J96" s="2996"/>
      <c r="K96" s="2996"/>
      <c r="L96" s="2996"/>
      <c r="M96" s="2997"/>
      <c r="N96" s="19"/>
      <c r="O96" s="121"/>
      <c r="P96" s="29"/>
      <c r="Q96" s="29"/>
      <c r="R96" s="29"/>
      <c r="S96" s="29"/>
      <c r="T96" s="29"/>
      <c r="U96" s="29"/>
      <c r="V96" s="29"/>
      <c r="W96" s="29"/>
      <c r="X96" s="29"/>
      <c r="Y96" s="29"/>
    </row>
    <row r="97" spans="1:25" ht="29.25" customHeight="1">
      <c r="B97" s="267"/>
      <c r="C97" s="336"/>
      <c r="D97" s="336"/>
      <c r="E97" s="449"/>
      <c r="F97" s="3023"/>
      <c r="G97" s="465">
        <v>3</v>
      </c>
      <c r="H97" s="2995" t="s">
        <v>793</v>
      </c>
      <c r="I97" s="2996"/>
      <c r="J97" s="2996"/>
      <c r="K97" s="2996"/>
      <c r="L97" s="2996"/>
      <c r="M97" s="2997"/>
      <c r="N97" s="19"/>
      <c r="O97" s="121"/>
      <c r="P97" s="29"/>
      <c r="Q97" s="29"/>
      <c r="R97" s="29"/>
      <c r="S97" s="29"/>
      <c r="T97" s="29"/>
      <c r="U97" s="29"/>
      <c r="V97" s="29"/>
      <c r="W97" s="29"/>
      <c r="X97" s="29"/>
      <c r="Y97" s="29"/>
    </row>
    <row r="98" spans="1:25" ht="18.75" customHeight="1">
      <c r="B98" s="267"/>
      <c r="C98" s="336"/>
      <c r="D98" s="336"/>
      <c r="E98" s="449"/>
      <c r="F98" s="2940" t="s">
        <v>966</v>
      </c>
      <c r="G98" s="465">
        <v>4</v>
      </c>
      <c r="H98" s="451" t="s">
        <v>794</v>
      </c>
      <c r="I98" s="450"/>
      <c r="J98" s="450"/>
      <c r="K98" s="450"/>
      <c r="L98" s="450"/>
      <c r="M98" s="454"/>
      <c r="N98" s="19"/>
      <c r="O98" s="121"/>
      <c r="P98" s="29"/>
      <c r="Q98" s="29"/>
      <c r="R98" s="29"/>
      <c r="S98" s="29"/>
      <c r="T98" s="29"/>
      <c r="U98" s="29"/>
      <c r="V98" s="29"/>
      <c r="W98" s="29"/>
      <c r="X98" s="29"/>
      <c r="Y98" s="29"/>
    </row>
    <row r="99" spans="1:25" ht="18.75" customHeight="1" thickBot="1">
      <c r="B99" s="267"/>
      <c r="C99" s="336"/>
      <c r="D99" s="336"/>
      <c r="E99" s="331"/>
      <c r="F99" s="2942"/>
      <c r="G99" s="466">
        <v>5</v>
      </c>
      <c r="H99" s="460" t="s">
        <v>795</v>
      </c>
      <c r="I99" s="444"/>
      <c r="J99" s="444"/>
      <c r="K99" s="444"/>
      <c r="L99" s="444"/>
      <c r="M99" s="443"/>
      <c r="N99" s="19"/>
      <c r="O99" s="121"/>
      <c r="P99" s="29"/>
      <c r="Q99" s="29"/>
      <c r="R99" s="29"/>
      <c r="S99" s="29"/>
      <c r="T99" s="29"/>
      <c r="U99" s="29"/>
      <c r="V99" s="29"/>
      <c r="W99" s="29"/>
      <c r="X99" s="29"/>
      <c r="Y99" s="29"/>
    </row>
    <row r="100" spans="1:25" s="4" customFormat="1" ht="16.5" customHeight="1">
      <c r="B100" s="868"/>
      <c r="C100" s="869"/>
      <c r="D100" s="869"/>
      <c r="E100" s="497" t="s">
        <v>782</v>
      </c>
      <c r="F100" s="838">
        <f>COUNTIF(E95:E99,"○")</f>
        <v>0</v>
      </c>
      <c r="G100" s="870"/>
      <c r="H100" s="870"/>
      <c r="I100" s="118"/>
      <c r="J100" s="118"/>
      <c r="K100" s="118"/>
      <c r="L100" s="871"/>
      <c r="M100" s="872"/>
      <c r="N100" s="19"/>
      <c r="P100" s="29"/>
      <c r="Q100" s="29"/>
      <c r="R100" s="29"/>
      <c r="S100" s="29"/>
      <c r="T100" s="29"/>
      <c r="U100" s="29"/>
      <c r="V100" s="29"/>
      <c r="W100" s="29"/>
      <c r="X100" s="29"/>
      <c r="Y100" s="29"/>
    </row>
    <row r="101" spans="1:25" s="29" customFormat="1" ht="8.25" hidden="1" customHeight="1" thickBot="1">
      <c r="A101" s="19"/>
      <c r="B101" s="137"/>
      <c r="C101" s="504"/>
      <c r="D101" s="270"/>
      <c r="E101" s="270"/>
      <c r="F101" s="2"/>
      <c r="G101" s="2"/>
      <c r="H101" s="2"/>
      <c r="I101" s="2"/>
      <c r="J101" s="2"/>
      <c r="K101" s="2"/>
      <c r="L101" s="2"/>
      <c r="M101" s="2"/>
      <c r="N101" s="22"/>
      <c r="R101" s="4"/>
      <c r="S101" s="4"/>
      <c r="T101" s="113"/>
    </row>
    <row r="102" spans="1:25" ht="16.5" hidden="1" customHeight="1">
      <c r="B102" s="267"/>
      <c r="C102" s="267"/>
      <c r="D102" s="25" t="str">
        <f>IF(ROUNDDOWN($D$87,0)=$Q$9,$S$9,$R$9)</f>
        <v>　レベル　1</v>
      </c>
      <c r="E102" s="457" t="s">
        <v>2052</v>
      </c>
      <c r="F102" s="458"/>
      <c r="G102" s="458"/>
      <c r="H102" s="458"/>
      <c r="I102" s="458"/>
      <c r="J102" s="458"/>
      <c r="K102" s="458"/>
      <c r="L102" s="458"/>
      <c r="M102" s="446"/>
      <c r="N102" s="19"/>
      <c r="O102" s="2549" t="s">
        <v>1927</v>
      </c>
      <c r="P102" s="2541">
        <v>1</v>
      </c>
      <c r="Q102" s="2542">
        <v>1</v>
      </c>
      <c r="R102" s="279" t="s">
        <v>801</v>
      </c>
      <c r="S102" s="277" t="s">
        <v>802</v>
      </c>
      <c r="T102" s="29"/>
      <c r="U102" s="2541">
        <v>1</v>
      </c>
      <c r="V102" s="29"/>
      <c r="W102" s="29"/>
      <c r="X102" s="29"/>
      <c r="Y102" s="29"/>
    </row>
    <row r="103" spans="1:25" ht="16.5" hidden="1" customHeight="1">
      <c r="B103" s="267"/>
      <c r="C103" s="267"/>
      <c r="D103" s="28" t="str">
        <f>IF(ROUNDDOWN($D$87,0)=$Q$10,$S$10,$R$10)</f>
        <v>　レベル　2</v>
      </c>
      <c r="E103" s="439" t="s">
        <v>1974</v>
      </c>
      <c r="F103" s="430"/>
      <c r="G103" s="430"/>
      <c r="H103" s="430"/>
      <c r="I103" s="430"/>
      <c r="J103" s="430"/>
      <c r="K103" s="430"/>
      <c r="L103" s="430"/>
      <c r="M103" s="431"/>
      <c r="N103" s="19"/>
      <c r="O103" s="29"/>
      <c r="P103" s="2541" t="s">
        <v>803</v>
      </c>
      <c r="Q103" s="2542">
        <v>2</v>
      </c>
      <c r="R103" s="279" t="s">
        <v>487</v>
      </c>
      <c r="S103" s="277" t="s">
        <v>83</v>
      </c>
      <c r="T103" s="29"/>
      <c r="U103" s="2541">
        <v>2</v>
      </c>
      <c r="V103" s="29"/>
      <c r="W103" s="29"/>
      <c r="X103" s="29"/>
      <c r="Y103" s="29"/>
    </row>
    <row r="104" spans="1:25" ht="16.5" hidden="1" customHeight="1">
      <c r="B104" s="267"/>
      <c r="C104" s="267"/>
      <c r="D104" s="28" t="str">
        <f>IF(ROUNDDOWN($D$87,0)=$Q$11,$S$11,$R$11)</f>
        <v>■レベル　3</v>
      </c>
      <c r="E104" s="451" t="s">
        <v>2053</v>
      </c>
      <c r="F104" s="450"/>
      <c r="G104" s="450"/>
      <c r="H104" s="450"/>
      <c r="I104" s="450"/>
      <c r="J104" s="450"/>
      <c r="K104" s="450"/>
      <c r="L104" s="450"/>
      <c r="M104" s="454"/>
      <c r="N104" s="19"/>
      <c r="O104" s="29"/>
      <c r="P104" s="2541">
        <v>3</v>
      </c>
      <c r="Q104" s="2542">
        <v>3</v>
      </c>
      <c r="R104" s="279" t="s">
        <v>488</v>
      </c>
      <c r="S104" s="277" t="s">
        <v>84</v>
      </c>
      <c r="T104" s="29"/>
      <c r="U104" s="2541">
        <v>3</v>
      </c>
      <c r="V104" s="29"/>
      <c r="W104" s="29"/>
      <c r="X104" s="29"/>
      <c r="Y104" s="29"/>
    </row>
    <row r="105" spans="1:25" ht="16.5" hidden="1" customHeight="1">
      <c r="B105" s="267"/>
      <c r="C105" s="267"/>
      <c r="D105" s="28" t="str">
        <f>IF(ROUNDDOWN($D$87,0)=$Q$12,$S$12,$R$12)</f>
        <v>　レベル　4</v>
      </c>
      <c r="E105" s="451" t="s">
        <v>2054</v>
      </c>
      <c r="F105" s="641"/>
      <c r="G105" s="641"/>
      <c r="H105" s="641"/>
      <c r="I105" s="641"/>
      <c r="J105" s="641"/>
      <c r="K105" s="641"/>
      <c r="L105" s="641"/>
      <c r="M105" s="642"/>
      <c r="N105" s="19"/>
      <c r="O105" s="29"/>
      <c r="P105" s="2541">
        <v>4</v>
      </c>
      <c r="Q105" s="2542">
        <v>4</v>
      </c>
      <c r="R105" s="279" t="s">
        <v>489</v>
      </c>
      <c r="S105" s="277" t="s">
        <v>85</v>
      </c>
      <c r="T105" s="29"/>
      <c r="U105" s="2541">
        <v>4</v>
      </c>
      <c r="V105" s="29"/>
      <c r="W105" s="29"/>
      <c r="X105" s="29"/>
      <c r="Y105" s="29"/>
    </row>
    <row r="106" spans="1:25" ht="15.6" hidden="1">
      <c r="B106" s="267"/>
      <c r="C106" s="267"/>
      <c r="D106" s="26" t="str">
        <f>IF(ROUNDDOWN($D$87,0)=$Q$13,$S$13,$R$13)</f>
        <v>　レベル　5</v>
      </c>
      <c r="E106" s="473" t="s">
        <v>2063</v>
      </c>
      <c r="F106" s="643"/>
      <c r="G106" s="643"/>
      <c r="H106" s="643"/>
      <c r="I106" s="643"/>
      <c r="J106" s="643"/>
      <c r="K106" s="643"/>
      <c r="L106" s="643"/>
      <c r="M106" s="644"/>
      <c r="N106" s="19"/>
      <c r="O106" s="29"/>
      <c r="P106" s="2541">
        <v>5</v>
      </c>
      <c r="Q106" s="2542">
        <v>5</v>
      </c>
      <c r="R106" s="279" t="s">
        <v>490</v>
      </c>
      <c r="S106" s="277" t="s">
        <v>86</v>
      </c>
      <c r="T106" s="29"/>
      <c r="U106" s="2541">
        <v>5</v>
      </c>
      <c r="V106" s="29"/>
      <c r="W106" s="29"/>
      <c r="X106" s="29"/>
      <c r="Y106" s="29"/>
    </row>
    <row r="107" spans="1:25" s="29" customFormat="1" ht="16.5" hidden="1" customHeight="1">
      <c r="A107" s="19"/>
      <c r="B107" s="137"/>
      <c r="C107" s="504"/>
      <c r="D107" s="2543"/>
      <c r="E107" s="127" t="s">
        <v>35</v>
      </c>
      <c r="F107" s="19"/>
      <c r="G107" s="126"/>
      <c r="H107" s="32"/>
      <c r="I107" s="32"/>
      <c r="J107" s="19"/>
      <c r="K107" s="19"/>
      <c r="L107" s="19"/>
      <c r="M107" s="19"/>
      <c r="N107" s="22"/>
      <c r="P107" s="2544" t="s">
        <v>55</v>
      </c>
      <c r="Q107" s="2168" t="s">
        <v>87</v>
      </c>
      <c r="R107" s="4"/>
      <c r="S107" s="4"/>
      <c r="T107" s="113"/>
    </row>
    <row r="108" spans="1:25" s="29" customFormat="1" ht="16.5" hidden="1" customHeight="1" thickBot="1">
      <c r="A108" s="19"/>
      <c r="B108" s="137"/>
      <c r="C108" s="504"/>
      <c r="D108" s="19"/>
      <c r="E108" s="2503">
        <f>ROUND(IF(AND(H117&gt;=1,J117&gt;=1),5,IF(F117&gt;=2,4,IF(F117&gt;=1,3,1))),0)</f>
        <v>3</v>
      </c>
      <c r="F108" s="428" t="s">
        <v>494</v>
      </c>
      <c r="G108" s="138" t="s">
        <v>78</v>
      </c>
      <c r="H108" s="654" t="s">
        <v>239</v>
      </c>
      <c r="I108" s="654"/>
      <c r="J108" s="654"/>
      <c r="K108" s="654"/>
      <c r="L108" s="654"/>
      <c r="M108" s="656"/>
      <c r="N108" s="22"/>
      <c r="P108" s="2545"/>
      <c r="Q108" s="2168"/>
      <c r="R108" s="4"/>
      <c r="S108" s="4"/>
      <c r="T108" s="113"/>
    </row>
    <row r="109" spans="1:25" s="29" customFormat="1" ht="18" hidden="1" customHeight="1">
      <c r="A109" s="19"/>
      <c r="B109" s="137"/>
      <c r="C109" s="504"/>
      <c r="D109" s="19"/>
      <c r="E109" s="2554"/>
      <c r="F109" s="3008" t="s">
        <v>2154</v>
      </c>
      <c r="G109" s="482">
        <v>1</v>
      </c>
      <c r="H109" s="458" t="s">
        <v>2055</v>
      </c>
      <c r="I109" s="458"/>
      <c r="J109" s="458"/>
      <c r="K109" s="458"/>
      <c r="L109" s="458"/>
      <c r="M109" s="446"/>
      <c r="N109" s="22"/>
      <c r="P109" s="2545"/>
      <c r="Q109" s="2168"/>
      <c r="R109" s="4"/>
      <c r="S109" s="4"/>
      <c r="T109" s="113"/>
    </row>
    <row r="110" spans="1:25" s="29" customFormat="1" ht="18" hidden="1" customHeight="1">
      <c r="A110" s="19"/>
      <c r="B110" s="137"/>
      <c r="C110" s="504"/>
      <c r="D110" s="19"/>
      <c r="E110" s="2555"/>
      <c r="F110" s="3009"/>
      <c r="G110" s="483">
        <v>2</v>
      </c>
      <c r="H110" s="453" t="s">
        <v>2060</v>
      </c>
      <c r="I110" s="453"/>
      <c r="J110" s="453"/>
      <c r="K110" s="453"/>
      <c r="L110" s="453"/>
      <c r="M110" s="455"/>
      <c r="N110" s="22"/>
      <c r="P110" s="2545"/>
      <c r="Q110" s="2168"/>
      <c r="R110" s="4"/>
      <c r="S110" s="4"/>
      <c r="T110" s="113"/>
    </row>
    <row r="111" spans="1:25" s="29" customFormat="1" ht="18" hidden="1" customHeight="1">
      <c r="A111" s="19"/>
      <c r="B111" s="137"/>
      <c r="C111" s="504"/>
      <c r="D111" s="19"/>
      <c r="E111" s="2555" t="s">
        <v>687</v>
      </c>
      <c r="F111" s="3009"/>
      <c r="G111" s="2553">
        <v>3</v>
      </c>
      <c r="H111" s="453" t="s">
        <v>2061</v>
      </c>
      <c r="I111" s="453"/>
      <c r="J111" s="453"/>
      <c r="K111" s="453"/>
      <c r="L111" s="453"/>
      <c r="M111" s="455"/>
      <c r="N111" s="22"/>
      <c r="P111" s="2545"/>
      <c r="Q111" s="2168"/>
      <c r="R111" s="4"/>
      <c r="S111" s="4"/>
      <c r="T111" s="113"/>
    </row>
    <row r="112" spans="1:25" s="29" customFormat="1" ht="18" hidden="1" customHeight="1" thickBot="1">
      <c r="A112" s="19"/>
      <c r="B112" s="137"/>
      <c r="C112" s="504"/>
      <c r="D112" s="19"/>
      <c r="E112" s="2556"/>
      <c r="F112" s="3010"/>
      <c r="G112" s="484">
        <v>4</v>
      </c>
      <c r="H112" s="453" t="s">
        <v>2062</v>
      </c>
      <c r="I112" s="453"/>
      <c r="J112" s="453"/>
      <c r="K112" s="453"/>
      <c r="L112" s="453"/>
      <c r="M112" s="455"/>
      <c r="N112" s="22"/>
      <c r="P112" s="2545"/>
      <c r="Q112" s="2168"/>
      <c r="R112" s="4"/>
      <c r="S112" s="4"/>
      <c r="T112" s="113"/>
    </row>
    <row r="113" spans="1:25" s="29" customFormat="1" ht="18" hidden="1" customHeight="1">
      <c r="A113" s="19"/>
      <c r="B113" s="137"/>
      <c r="C113" s="504"/>
      <c r="D113" s="19"/>
      <c r="E113" s="2554"/>
      <c r="F113" s="3011" t="s">
        <v>2155</v>
      </c>
      <c r="G113" s="482">
        <v>1</v>
      </c>
      <c r="H113" s="458" t="s">
        <v>2056</v>
      </c>
      <c r="I113" s="458"/>
      <c r="J113" s="458"/>
      <c r="K113" s="458"/>
      <c r="L113" s="458"/>
      <c r="M113" s="446"/>
      <c r="N113" s="22"/>
      <c r="P113" s="2545"/>
      <c r="Q113" s="2168"/>
      <c r="R113" s="4"/>
      <c r="S113" s="4"/>
      <c r="T113" s="113"/>
    </row>
    <row r="114" spans="1:25" s="29" customFormat="1" ht="18" hidden="1" customHeight="1">
      <c r="A114" s="19"/>
      <c r="B114" s="137"/>
      <c r="C114" s="504"/>
      <c r="D114" s="19"/>
      <c r="E114" s="2555"/>
      <c r="F114" s="3012"/>
      <c r="G114" s="483">
        <v>2</v>
      </c>
      <c r="H114" s="453" t="s">
        <v>2057</v>
      </c>
      <c r="I114" s="453"/>
      <c r="J114" s="453"/>
      <c r="K114" s="453"/>
      <c r="L114" s="453"/>
      <c r="M114" s="455"/>
      <c r="N114" s="22"/>
      <c r="P114" s="2545"/>
      <c r="Q114" s="2168"/>
      <c r="R114" s="4"/>
      <c r="S114" s="4"/>
      <c r="T114" s="113"/>
    </row>
    <row r="115" spans="1:25" s="29" customFormat="1" ht="18" hidden="1" customHeight="1">
      <c r="A115" s="19"/>
      <c r="B115" s="137"/>
      <c r="C115" s="504"/>
      <c r="D115" s="19"/>
      <c r="E115" s="2555"/>
      <c r="F115" s="3012"/>
      <c r="G115" s="483">
        <v>3</v>
      </c>
      <c r="H115" s="453" t="s">
        <v>2058</v>
      </c>
      <c r="I115" s="453"/>
      <c r="J115" s="453"/>
      <c r="K115" s="453"/>
      <c r="L115" s="453"/>
      <c r="M115" s="455"/>
      <c r="N115" s="22"/>
      <c r="O115"/>
      <c r="P115"/>
      <c r="Q115"/>
      <c r="R115"/>
      <c r="S115" s="4"/>
      <c r="T115" s="113"/>
    </row>
    <row r="116" spans="1:25" s="29" customFormat="1" ht="18" hidden="1" customHeight="1" thickBot="1">
      <c r="A116" s="19"/>
      <c r="B116" s="137"/>
      <c r="C116" s="504"/>
      <c r="D116" s="19"/>
      <c r="E116" s="2556"/>
      <c r="F116" s="3013"/>
      <c r="G116" s="2553">
        <v>4</v>
      </c>
      <c r="H116" s="2134" t="s">
        <v>2059</v>
      </c>
      <c r="I116" s="2134"/>
      <c r="J116" s="2134"/>
      <c r="K116" s="2134"/>
      <c r="L116" s="2134"/>
      <c r="M116" s="2142"/>
      <c r="N116" s="22"/>
      <c r="O116"/>
      <c r="P116"/>
      <c r="Q116"/>
      <c r="R116"/>
      <c r="S116" s="4"/>
      <c r="T116" s="113"/>
    </row>
    <row r="117" spans="1:25" s="29" customFormat="1" ht="16.5" hidden="1" customHeight="1">
      <c r="A117" s="19"/>
      <c r="B117" s="137"/>
      <c r="C117" s="504"/>
      <c r="D117" s="19"/>
      <c r="E117" s="497" t="s">
        <v>250</v>
      </c>
      <c r="F117" s="838">
        <f>H117+J117</f>
        <v>1</v>
      </c>
      <c r="G117" s="424" t="s">
        <v>2071</v>
      </c>
      <c r="H117" s="2550">
        <f>COUNTIF(E109:E112,"○")</f>
        <v>1</v>
      </c>
      <c r="I117" s="325" t="s">
        <v>2072</v>
      </c>
      <c r="J117" s="2550">
        <f>COUNTIF(E113:E116,"○")</f>
        <v>0</v>
      </c>
      <c r="K117" s="325"/>
      <c r="L117" s="326"/>
      <c r="M117" s="327"/>
      <c r="N117" s="22"/>
      <c r="O117"/>
      <c r="P117"/>
      <c r="Q117"/>
      <c r="R117"/>
      <c r="S117" s="4"/>
      <c r="T117" s="113"/>
    </row>
    <row r="118" spans="1:25" s="29" customFormat="1" ht="8.25" customHeight="1">
      <c r="A118" s="19"/>
      <c r="B118" s="137"/>
      <c r="C118" s="504"/>
      <c r="D118" s="270"/>
      <c r="E118" s="270"/>
      <c r="F118" s="2"/>
      <c r="G118" s="2"/>
      <c r="H118" s="2"/>
      <c r="I118" s="2"/>
      <c r="J118" s="2"/>
      <c r="K118" s="2"/>
      <c r="L118" s="2"/>
      <c r="M118" s="2"/>
      <c r="N118" s="22"/>
      <c r="O118"/>
      <c r="P118"/>
      <c r="Q118"/>
      <c r="R118"/>
      <c r="S118" s="4"/>
      <c r="T118" s="113"/>
    </row>
    <row r="119" spans="1:25" s="29" customFormat="1" ht="21" customHeight="1">
      <c r="A119" s="19"/>
      <c r="B119" s="137"/>
      <c r="C119" s="137"/>
      <c r="D119" s="137"/>
      <c r="E119" s="646" t="s">
        <v>3</v>
      </c>
      <c r="F119" s="647"/>
      <c r="G119" s="2441"/>
      <c r="H119" s="2442"/>
      <c r="I119" s="990"/>
      <c r="J119" s="990"/>
      <c r="K119" s="990"/>
      <c r="L119" s="990"/>
      <c r="M119" s="991"/>
      <c r="N119" s="137"/>
      <c r="O119" s="137"/>
      <c r="P119" s="137"/>
      <c r="Q119" s="137"/>
      <c r="R119" s="137"/>
      <c r="S119" s="4"/>
      <c r="T119" s="113"/>
      <c r="U119" s="2545"/>
      <c r="V119" s="113"/>
      <c r="W119" s="113"/>
      <c r="X119" s="113"/>
      <c r="Y119" s="113"/>
    </row>
    <row r="120" spans="1:25" s="29" customFormat="1" ht="21" customHeight="1">
      <c r="A120" s="19"/>
      <c r="B120" s="137"/>
      <c r="C120" s="504"/>
      <c r="P120" s="2545"/>
      <c r="Q120" s="2168"/>
      <c r="R120" s="4"/>
      <c r="S120" s="4"/>
      <c r="T120" s="113"/>
      <c r="U120" s="2545"/>
      <c r="V120" s="113"/>
      <c r="W120" s="113"/>
      <c r="X120" s="113"/>
      <c r="Y120" s="113"/>
    </row>
  </sheetData>
  <sheetProtection algorithmName="SHA-512" hashValue="Mi3DgQyAgDso8M7+BBRm3+RpECNniv2gXkdJIXPvcjOpmLk8FNh7bpCNO28azq/Ic/0S44Tr5kcazfuIPnYT4w==" saltValue="9qJ6EVhwL47t0wuPRqyacg==" spinCount="100000" sheet="1" objects="1" scenarios="1"/>
  <mergeCells count="46">
    <mergeCell ref="I21:M21"/>
    <mergeCell ref="I19:M19"/>
    <mergeCell ref="G78:G79"/>
    <mergeCell ref="H17:M17"/>
    <mergeCell ref="E16:E17"/>
    <mergeCell ref="E18:E19"/>
    <mergeCell ref="E20:E21"/>
    <mergeCell ref="E22:E23"/>
    <mergeCell ref="F16:F17"/>
    <mergeCell ref="G16:G17"/>
    <mergeCell ref="G18:G27"/>
    <mergeCell ref="F18:F27"/>
    <mergeCell ref="E26:E27"/>
    <mergeCell ref="E24:E25"/>
    <mergeCell ref="H18:H19"/>
    <mergeCell ref="H20:H21"/>
    <mergeCell ref="I22:M22"/>
    <mergeCell ref="I24:M24"/>
    <mergeCell ref="H97:M97"/>
    <mergeCell ref="H96:M96"/>
    <mergeCell ref="I26:M26"/>
    <mergeCell ref="I27:M27"/>
    <mergeCell ref="I23:M23"/>
    <mergeCell ref="H26:H27"/>
    <mergeCell ref="F98:F99"/>
    <mergeCell ref="E87:M87"/>
    <mergeCell ref="F95:F97"/>
    <mergeCell ref="H73:M73"/>
    <mergeCell ref="F74:F76"/>
    <mergeCell ref="F77:F79"/>
    <mergeCell ref="F109:F112"/>
    <mergeCell ref="F113:F116"/>
    <mergeCell ref="E8:M8"/>
    <mergeCell ref="E35:M35"/>
    <mergeCell ref="E46:M46"/>
    <mergeCell ref="E66:M66"/>
    <mergeCell ref="E9:M9"/>
    <mergeCell ref="E11:M11"/>
    <mergeCell ref="H15:M15"/>
    <mergeCell ref="H16:M16"/>
    <mergeCell ref="E12:M12"/>
    <mergeCell ref="E13:M13"/>
    <mergeCell ref="I18:M18"/>
    <mergeCell ref="I20:M20"/>
    <mergeCell ref="H22:H23"/>
    <mergeCell ref="H24:H25"/>
  </mergeCells>
  <phoneticPr fontId="4"/>
  <conditionalFormatting sqref="D8">
    <cfRule type="expression" dxfId="97" priority="32" stopIfTrue="1">
      <formula>AND(OR(D8&lt;1,D8&gt;5),D8&lt;&gt;P14)</formula>
    </cfRule>
  </conditionalFormatting>
  <conditionalFormatting sqref="D35">
    <cfRule type="expression" dxfId="96" priority="30" stopIfTrue="1">
      <formula>AND(OR(D35&lt;1,D35&gt;5),D35&lt;&gt;P41)</formula>
    </cfRule>
    <cfRule type="expression" dxfId="95" priority="31" stopIfTrue="1">
      <formula>M34&gt;0</formula>
    </cfRule>
  </conditionalFormatting>
  <conditionalFormatting sqref="E16 E18 E20 E22 E24 E26">
    <cfRule type="expression" dxfId="94" priority="40" stopIfTrue="1">
      <formula>$M$7&gt;0</formula>
    </cfRule>
  </conditionalFormatting>
  <conditionalFormatting sqref="E54:E59 E95:E99">
    <cfRule type="expression" dxfId="93" priority="38" stopIfTrue="1">
      <formula>$M$45&gt;0</formula>
    </cfRule>
  </conditionalFormatting>
  <conditionalFormatting sqref="E74:E80">
    <cfRule type="expression" dxfId="92" priority="39" stopIfTrue="1">
      <formula>$M$65&gt;0</formula>
    </cfRule>
  </conditionalFormatting>
  <dataValidations count="4">
    <dataValidation type="list" allowBlank="1" showInputMessage="1" showErrorMessage="1" sqref="E95:E99 E74:E80 E54:E59 E26 E18 E20 E22 E24 E109:E116" xr:uid="{00000000-0002-0000-0A00-000000000000}">
      <formula1>$U$3:$U$4</formula1>
    </dataValidation>
    <dataValidation type="list" allowBlank="1" showInputMessage="1" showErrorMessage="1" sqref="D35" xr:uid="{00000000-0002-0000-0A00-000001000000}">
      <formula1>$P$36:$P$41</formula1>
    </dataValidation>
    <dataValidation type="textLength" operator="lessThanOrEqual" allowBlank="1" showInputMessage="1" showErrorMessage="1" sqref="F62 F30 F83 F42 F119" xr:uid="{00000000-0002-0000-0A00-000002000000}">
      <formula1>30</formula1>
    </dataValidation>
    <dataValidation type="list" allowBlank="1" showInputMessage="1" showErrorMessage="1" sqref="E16" xr:uid="{00000000-0002-0000-0A00-000003000000}">
      <formula1>$V$3:$V$5</formula1>
    </dataValidation>
  </dataValidations>
  <printOptions horizontalCentered="1"/>
  <pageMargins left="0.78740157480314965" right="0.78740157480314965" top="0.78740157480314965" bottom="0.78740157480314965" header="0.51181102362204722" footer="0.51181102362204722"/>
  <pageSetup paperSize="9" scale="68" fitToHeight="0" orientation="portrait" verticalDpi="300" r:id="rId1"/>
  <headerFooter alignWithMargins="0">
    <oddHeader>&amp;L&amp;F&amp;R&amp;A</oddHeader>
    <oddFooter>&amp;C&amp;P/&amp;N</oddFooter>
  </headerFooter>
  <rowBreaks count="1" manualBreakCount="1">
    <brk id="63"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autoPageBreaks="0" fitToPage="1"/>
  </sheetPr>
  <dimension ref="A1:AA185"/>
  <sheetViews>
    <sheetView showGridLines="0" topLeftCell="A3" zoomScaleNormal="100" zoomScaleSheetLayoutView="75" workbookViewId="0">
      <selection activeCell="I21" sqref="I21"/>
    </sheetView>
  </sheetViews>
  <sheetFormatPr defaultColWidth="0" defaultRowHeight="14.25" customHeight="1" zeroHeight="1"/>
  <cols>
    <col min="1" max="1" width="1.33203125" style="4" customWidth="1"/>
    <col min="2" max="2" width="4.6640625" style="133" customWidth="1"/>
    <col min="3" max="3" width="1.44140625" style="4" customWidth="1"/>
    <col min="4" max="13" width="11.6640625" style="4" customWidth="1"/>
    <col min="14" max="14" width="2.21875" style="4" customWidth="1"/>
    <col min="15" max="15" width="4.6640625" style="4" hidden="1" customWidth="1"/>
    <col min="16" max="16" width="6.77734375" style="4" hidden="1" customWidth="1"/>
    <col min="17" max="17" width="9.6640625" style="4" hidden="1" customWidth="1"/>
    <col min="18" max="19" width="4.6640625" style="4" hidden="1" customWidth="1"/>
    <col min="20" max="20" width="14.33203125" style="4" hidden="1" customWidth="1"/>
    <col min="21" max="23" width="4.6640625" style="4" hidden="1" customWidth="1"/>
    <col min="24" max="16384" width="8.88671875" style="4" hidden="1"/>
  </cols>
  <sheetData>
    <row r="1" spans="1:25" s="29" customFormat="1" ht="22.5" customHeight="1">
      <c r="A1" s="19"/>
      <c r="B1" s="137"/>
      <c r="C1" s="22"/>
      <c r="D1" s="129"/>
      <c r="E1" s="19"/>
      <c r="F1" s="19"/>
      <c r="G1" s="19"/>
      <c r="H1" s="19"/>
      <c r="I1" s="19"/>
      <c r="J1" s="19"/>
      <c r="K1" s="861" t="s">
        <v>362</v>
      </c>
      <c r="L1" s="862" t="str">
        <f>IF(メイン!$C$10="","",メイン!$C$10)</f>
        <v>あおもりGX</v>
      </c>
      <c r="M1" s="863"/>
      <c r="N1" s="22"/>
      <c r="O1" s="121"/>
      <c r="P1" s="121"/>
      <c r="Q1" s="121"/>
    </row>
    <row r="2" spans="1:25" s="29" customFormat="1" ht="9" customHeight="1" thickBot="1">
      <c r="A2" s="19"/>
      <c r="B2" s="137"/>
      <c r="C2" s="22"/>
      <c r="D2" s="129"/>
      <c r="E2" s="19"/>
      <c r="F2" s="19"/>
      <c r="G2" s="19"/>
      <c r="H2" s="19"/>
      <c r="I2" s="19"/>
      <c r="J2" s="19"/>
      <c r="K2" s="860"/>
      <c r="L2" s="317"/>
      <c r="M2" s="19"/>
      <c r="N2" s="22"/>
      <c r="O2" s="121"/>
      <c r="P2" s="121"/>
      <c r="Q2" s="121"/>
    </row>
    <row r="3" spans="1:25" ht="21.6" thickBot="1">
      <c r="A3" s="2"/>
      <c r="B3" s="269" t="s">
        <v>947</v>
      </c>
      <c r="C3" s="19"/>
      <c r="D3" s="19"/>
      <c r="E3" s="19"/>
      <c r="F3" s="19"/>
      <c r="G3" s="19"/>
      <c r="H3" s="124"/>
      <c r="I3" s="41" t="s">
        <v>66</v>
      </c>
      <c r="J3" s="19"/>
      <c r="K3" s="19"/>
      <c r="L3" s="19"/>
      <c r="M3" s="19"/>
      <c r="N3" s="19"/>
      <c r="O3" s="29"/>
      <c r="P3" s="275" t="s">
        <v>88</v>
      </c>
      <c r="Q3" s="441" t="str">
        <f>IF(メイン!E32=0,"",メイン!E32)</f>
        <v/>
      </c>
      <c r="R3" s="29"/>
      <c r="S3" s="29"/>
      <c r="T3" s="278"/>
      <c r="U3" s="280" t="s">
        <v>429</v>
      </c>
      <c r="V3" s="113"/>
      <c r="X3" s="113"/>
      <c r="Y3" s="278" t="str">
        <f>メイン!O32</f>
        <v>基本設計段階</v>
      </c>
    </row>
    <row r="4" spans="1:25" ht="3.75" customHeight="1">
      <c r="A4" s="2"/>
      <c r="B4" s="269"/>
      <c r="C4" s="19"/>
      <c r="D4" s="19"/>
      <c r="E4" s="19"/>
      <c r="F4" s="19"/>
      <c r="G4" s="19"/>
      <c r="H4" s="19"/>
      <c r="I4" s="19"/>
      <c r="J4" s="19"/>
      <c r="K4" s="19"/>
      <c r="L4" s="19"/>
      <c r="M4" s="19"/>
      <c r="N4" s="19"/>
      <c r="O4" s="29"/>
      <c r="P4" s="275"/>
      <c r="Q4" s="441"/>
      <c r="R4" s="29"/>
      <c r="S4" s="29"/>
      <c r="T4" s="278"/>
      <c r="U4" s="280"/>
      <c r="V4" s="113"/>
      <c r="X4" s="113"/>
      <c r="Y4" s="278"/>
    </row>
    <row r="5" spans="1:25" ht="18" customHeight="1">
      <c r="A5" s="2"/>
      <c r="B5" s="137">
        <v>1</v>
      </c>
      <c r="C5" s="23" t="s">
        <v>950</v>
      </c>
      <c r="D5" s="23"/>
      <c r="E5" s="23"/>
      <c r="F5" s="19"/>
      <c r="G5" s="19"/>
      <c r="H5" s="19"/>
      <c r="I5" s="19"/>
      <c r="J5" s="19"/>
      <c r="K5" s="21"/>
      <c r="L5" s="19"/>
      <c r="M5" s="19"/>
      <c r="N5" s="19"/>
      <c r="O5" s="29"/>
      <c r="P5" s="29"/>
      <c r="Q5" s="29"/>
      <c r="R5" s="29"/>
      <c r="S5" s="29"/>
      <c r="T5" s="278" t="s">
        <v>430</v>
      </c>
      <c r="U5" s="278"/>
      <c r="V5" s="113"/>
      <c r="X5" s="113"/>
      <c r="Y5" s="278" t="str">
        <f>メイン!O33</f>
        <v>実施設計段階</v>
      </c>
    </row>
    <row r="6" spans="1:25" s="15" customFormat="1" ht="13.5" customHeight="1">
      <c r="A6" s="13"/>
      <c r="B6" s="513">
        <v>1.1000000000000001</v>
      </c>
      <c r="C6" s="23" t="s">
        <v>581</v>
      </c>
      <c r="D6" s="2652"/>
      <c r="E6" s="23"/>
      <c r="F6" s="22"/>
      <c r="G6" s="22"/>
      <c r="H6" s="22"/>
      <c r="I6" s="22"/>
      <c r="J6" s="22"/>
      <c r="K6" s="22"/>
      <c r="L6" s="22"/>
      <c r="M6" s="22"/>
      <c r="N6" s="13"/>
      <c r="O6" s="147"/>
      <c r="P6" s="147"/>
      <c r="Q6" s="147"/>
      <c r="R6" s="264"/>
      <c r="S6" s="264"/>
      <c r="T6" s="264"/>
      <c r="U6" s="264"/>
      <c r="V6" s="264"/>
      <c r="W6" s="264"/>
      <c r="X6" s="264"/>
      <c r="Y6" s="113"/>
    </row>
    <row r="7" spans="1:25" s="15" customFormat="1" ht="16.5" customHeight="1" thickBot="1">
      <c r="A7" s="22"/>
      <c r="B7" s="22"/>
      <c r="C7" s="22"/>
      <c r="D7" s="22"/>
      <c r="E7" s="13"/>
      <c r="F7" s="13"/>
      <c r="G7" s="13"/>
      <c r="H7" s="13"/>
      <c r="I7" s="22"/>
      <c r="K7" s="22"/>
      <c r="L7" s="148" t="s">
        <v>2</v>
      </c>
      <c r="M7" s="145">
        <f>重み!M70</f>
        <v>0.45</v>
      </c>
      <c r="N7" s="13"/>
      <c r="O7" s="29" t="str">
        <f>C6</f>
        <v>躯体と設備による省エネ</v>
      </c>
      <c r="P7" s="29">
        <f>D6</f>
        <v>0</v>
      </c>
      <c r="Q7" s="284">
        <f t="shared" ref="Q7:Y7" si="0">E7</f>
        <v>0</v>
      </c>
      <c r="R7" s="284">
        <f t="shared" si="0"/>
        <v>0</v>
      </c>
      <c r="S7" s="284">
        <f t="shared" si="0"/>
        <v>0</v>
      </c>
      <c r="T7" s="284">
        <f t="shared" si="0"/>
        <v>0</v>
      </c>
      <c r="U7" s="284">
        <f t="shared" si="0"/>
        <v>0</v>
      </c>
      <c r="V7" s="284">
        <f t="shared" si="0"/>
        <v>0</v>
      </c>
      <c r="W7" s="284">
        <f t="shared" si="0"/>
        <v>0</v>
      </c>
      <c r="X7" s="284" t="str">
        <f t="shared" si="0"/>
        <v>重み係数＝</v>
      </c>
      <c r="Y7" s="284">
        <f t="shared" si="0"/>
        <v>0.45</v>
      </c>
    </row>
    <row r="8" spans="1:25" ht="16.5" customHeight="1" thickBot="1">
      <c r="A8" s="2"/>
      <c r="B8" s="24"/>
      <c r="C8" s="24"/>
      <c r="D8" s="2445">
        <f>IF(メイン!C11=メイン!I10,M15,M42)</f>
        <v>5</v>
      </c>
      <c r="E8" s="1326" t="s">
        <v>415</v>
      </c>
      <c r="F8" s="1327"/>
      <c r="G8" s="1327"/>
      <c r="H8" s="1327"/>
      <c r="I8" s="1327"/>
      <c r="J8" s="1328"/>
      <c r="K8" s="1328" t="s">
        <v>582</v>
      </c>
      <c r="L8" s="1327"/>
      <c r="M8" s="1329"/>
      <c r="N8" s="13"/>
      <c r="O8" s="284"/>
      <c r="P8" s="284"/>
      <c r="Q8" s="284"/>
      <c r="R8" s="284"/>
      <c r="S8" s="284"/>
      <c r="T8" s="113"/>
      <c r="U8" s="113"/>
      <c r="V8" s="113"/>
      <c r="W8" s="113"/>
      <c r="X8" s="113"/>
      <c r="Y8" s="113"/>
    </row>
    <row r="9" spans="1:25" ht="19.5" customHeight="1">
      <c r="A9" s="2"/>
      <c r="B9" s="24"/>
      <c r="C9" s="24"/>
      <c r="D9" s="3040" t="s">
        <v>262</v>
      </c>
      <c r="E9" s="2943" t="s">
        <v>1826</v>
      </c>
      <c r="F9" s="2966"/>
      <c r="G9" s="2966"/>
      <c r="H9" s="2966"/>
      <c r="I9" s="2966"/>
      <c r="J9" s="2966"/>
      <c r="K9" s="2943" t="s">
        <v>1674</v>
      </c>
      <c r="L9" s="2966"/>
      <c r="M9" s="2944"/>
      <c r="N9" s="13"/>
      <c r="O9" s="284"/>
      <c r="P9" s="491">
        <f>$Q$9</f>
        <v>1</v>
      </c>
      <c r="Q9" s="276">
        <v>1</v>
      </c>
      <c r="R9" s="279" t="s">
        <v>486</v>
      </c>
      <c r="S9" s="277" t="s">
        <v>82</v>
      </c>
      <c r="T9" s="113"/>
      <c r="U9" s="491">
        <f>$Q$9</f>
        <v>1</v>
      </c>
      <c r="V9" s="113"/>
      <c r="W9" s="113"/>
      <c r="X9" s="113"/>
      <c r="Y9" s="113"/>
    </row>
    <row r="10" spans="1:25" ht="19.5" customHeight="1">
      <c r="A10" s="2"/>
      <c r="B10" s="24"/>
      <c r="C10" s="24"/>
      <c r="D10" s="3041"/>
      <c r="E10" s="2945"/>
      <c r="F10" s="3046"/>
      <c r="G10" s="3046"/>
      <c r="H10" s="3046"/>
      <c r="I10" s="3046"/>
      <c r="J10" s="3046"/>
      <c r="K10" s="2945"/>
      <c r="L10" s="3046"/>
      <c r="M10" s="2946"/>
      <c r="N10" s="13"/>
      <c r="O10" s="284"/>
      <c r="P10" s="491">
        <f>$Q$10</f>
        <v>2</v>
      </c>
      <c r="Q10" s="276">
        <v>2</v>
      </c>
      <c r="R10" s="279" t="s">
        <v>487</v>
      </c>
      <c r="S10" s="277" t="s">
        <v>83</v>
      </c>
      <c r="T10" s="113"/>
      <c r="U10" s="491">
        <f>$Q$10</f>
        <v>2</v>
      </c>
      <c r="V10" s="113"/>
      <c r="W10" s="113"/>
      <c r="X10" s="113"/>
      <c r="Y10" s="113"/>
    </row>
    <row r="11" spans="1:25" ht="19.5" customHeight="1">
      <c r="A11" s="2"/>
      <c r="B11" s="24"/>
      <c r="C11" s="24"/>
      <c r="D11" s="3041"/>
      <c r="E11" s="2945"/>
      <c r="F11" s="3046"/>
      <c r="G11" s="3046"/>
      <c r="H11" s="3046"/>
      <c r="I11" s="3046"/>
      <c r="J11" s="3046"/>
      <c r="K11" s="2945"/>
      <c r="L11" s="3046"/>
      <c r="M11" s="2946"/>
      <c r="N11" s="13"/>
      <c r="O11" s="284"/>
      <c r="P11" s="491">
        <f>$Q$11</f>
        <v>3</v>
      </c>
      <c r="Q11" s="276">
        <v>3</v>
      </c>
      <c r="R11" s="279" t="s">
        <v>488</v>
      </c>
      <c r="S11" s="277" t="s">
        <v>84</v>
      </c>
      <c r="T11" s="113"/>
      <c r="U11" s="491">
        <f>$Q$11</f>
        <v>3</v>
      </c>
      <c r="V11" s="113"/>
      <c r="W11" s="113"/>
      <c r="X11" s="113"/>
      <c r="Y11" s="113"/>
    </row>
    <row r="12" spans="1:25" ht="19.5" customHeight="1">
      <c r="A12" s="2"/>
      <c r="B12" s="24"/>
      <c r="C12" s="24"/>
      <c r="D12" s="3041"/>
      <c r="E12" s="2945"/>
      <c r="F12" s="3046"/>
      <c r="G12" s="3046"/>
      <c r="H12" s="3046"/>
      <c r="I12" s="3046"/>
      <c r="J12" s="3046"/>
      <c r="K12" s="2945"/>
      <c r="L12" s="3046"/>
      <c r="M12" s="2946"/>
      <c r="N12" s="13"/>
      <c r="O12" s="284"/>
      <c r="P12" s="491">
        <f>$Q$12</f>
        <v>4</v>
      </c>
      <c r="Q12" s="276">
        <v>4</v>
      </c>
      <c r="R12" s="279" t="s">
        <v>489</v>
      </c>
      <c r="S12" s="277" t="s">
        <v>85</v>
      </c>
      <c r="T12" s="113"/>
      <c r="U12" s="491">
        <f>$Q$12</f>
        <v>4</v>
      </c>
      <c r="V12" s="113"/>
      <c r="W12" s="113"/>
      <c r="X12" s="113"/>
      <c r="Y12" s="113"/>
    </row>
    <row r="13" spans="1:25" ht="19.5" customHeight="1">
      <c r="A13" s="2"/>
      <c r="B13" s="24"/>
      <c r="C13" s="24"/>
      <c r="D13" s="3042"/>
      <c r="E13" s="2947"/>
      <c r="F13" s="2970"/>
      <c r="G13" s="2970"/>
      <c r="H13" s="2970"/>
      <c r="I13" s="2970"/>
      <c r="J13" s="2970"/>
      <c r="K13" s="2947"/>
      <c r="L13" s="2970"/>
      <c r="M13" s="2948"/>
      <c r="N13" s="2"/>
      <c r="O13" s="284"/>
      <c r="P13" s="491">
        <f>$Q$13</f>
        <v>5</v>
      </c>
      <c r="Q13" s="276">
        <v>5</v>
      </c>
      <c r="R13" s="279" t="s">
        <v>490</v>
      </c>
      <c r="S13" s="277" t="s">
        <v>86</v>
      </c>
      <c r="T13" s="113"/>
      <c r="U13" s="491">
        <f>$Q$13</f>
        <v>5</v>
      </c>
      <c r="V13" s="113"/>
      <c r="W13" s="113"/>
      <c r="X13" s="113"/>
      <c r="Y13" s="113"/>
    </row>
    <row r="14" spans="1:25" s="29" customFormat="1" ht="16.2" thickBot="1">
      <c r="A14" s="19"/>
      <c r="B14" s="474"/>
      <c r="C14" s="112"/>
      <c r="D14" s="270"/>
      <c r="E14" s="1396"/>
      <c r="H14" s="4"/>
      <c r="I14" s="4"/>
      <c r="J14" s="4"/>
      <c r="K14" s="4"/>
      <c r="L14" s="4"/>
      <c r="M14" s="4"/>
      <c r="N14" s="22"/>
      <c r="P14" s="2143" t="s">
        <v>55</v>
      </c>
      <c r="Q14" s="284" t="s">
        <v>87</v>
      </c>
      <c r="R14" s="4"/>
      <c r="S14" s="4"/>
      <c r="T14" s="113"/>
    </row>
    <row r="15" spans="1:25" s="29" customFormat="1" ht="16.2" thickBot="1">
      <c r="A15" s="19"/>
      <c r="B15" s="474"/>
      <c r="C15" s="112"/>
      <c r="D15" s="270"/>
      <c r="E15" s="1396" t="s">
        <v>2156</v>
      </c>
      <c r="H15" s="4"/>
      <c r="I15" s="4"/>
      <c r="J15" s="3049" t="s">
        <v>1806</v>
      </c>
      <c r="K15" s="3050"/>
      <c r="L15" s="4"/>
      <c r="M15" s="2557">
        <f>IF(J15=T16,M19,IF(J15=T17,R32,P14))</f>
        <v>5</v>
      </c>
      <c r="N15" s="22"/>
      <c r="O15" s="2549" t="s">
        <v>1926</v>
      </c>
      <c r="P15" s="2156"/>
      <c r="Q15" s="284"/>
      <c r="R15" s="284"/>
      <c r="S15" s="284"/>
      <c r="T15" s="1398" t="s">
        <v>1805</v>
      </c>
      <c r="U15" s="4"/>
      <c r="V15" s="113"/>
    </row>
    <row r="16" spans="1:25" s="29" customFormat="1" ht="15.6">
      <c r="A16" s="19"/>
      <c r="B16" s="474"/>
      <c r="C16" s="112"/>
      <c r="D16" s="270"/>
      <c r="E16" s="1396"/>
      <c r="H16" s="4"/>
      <c r="I16" s="4"/>
      <c r="J16" s="4"/>
      <c r="K16" s="4"/>
      <c r="L16" s="4"/>
      <c r="M16" s="4"/>
      <c r="N16" s="22"/>
      <c r="P16" s="2156"/>
      <c r="Q16" s="284"/>
      <c r="R16" s="284"/>
      <c r="S16" s="284"/>
      <c r="T16" s="1398" t="s">
        <v>1806</v>
      </c>
      <c r="U16" s="4"/>
      <c r="V16" s="113"/>
    </row>
    <row r="17" spans="1:25" s="29" customFormat="1" ht="15.6">
      <c r="A17" s="19"/>
      <c r="B17" s="474"/>
      <c r="C17" s="112"/>
      <c r="D17" s="270"/>
      <c r="E17" s="1396" t="s">
        <v>1809</v>
      </c>
      <c r="H17" s="4"/>
      <c r="I17" s="4"/>
      <c r="J17" s="2653" t="s">
        <v>1828</v>
      </c>
      <c r="K17" s="4"/>
      <c r="L17" s="4"/>
      <c r="M17" s="4"/>
      <c r="N17" s="22"/>
      <c r="P17" s="2156"/>
      <c r="Q17" s="284"/>
      <c r="R17" s="284"/>
      <c r="S17" s="284"/>
      <c r="T17" s="1398" t="s">
        <v>1807</v>
      </c>
      <c r="U17" s="4"/>
      <c r="V17" s="113"/>
    </row>
    <row r="18" spans="1:25" ht="19.8" thickBot="1">
      <c r="A18" s="2"/>
      <c r="B18" s="474"/>
      <c r="C18" s="112"/>
      <c r="D18" s="270"/>
      <c r="E18" s="2654" t="s">
        <v>1801</v>
      </c>
      <c r="F18" s="462"/>
      <c r="G18" s="462"/>
      <c r="H18" s="448"/>
      <c r="I18" s="2655" t="s">
        <v>583</v>
      </c>
      <c r="J18" s="2656" t="s">
        <v>584</v>
      </c>
      <c r="K18" s="2657" t="s">
        <v>1827</v>
      </c>
      <c r="M18" s="2658" t="s">
        <v>1675</v>
      </c>
      <c r="N18" s="2"/>
      <c r="O18" s="284"/>
      <c r="P18" s="511"/>
      <c r="Q18" s="2583"/>
      <c r="T18" s="2430" t="s">
        <v>1811</v>
      </c>
      <c r="U18" s="511"/>
      <c r="V18" s="113"/>
      <c r="W18" s="113"/>
      <c r="X18" s="113"/>
      <c r="Y18" s="113"/>
    </row>
    <row r="19" spans="1:25" s="15" customFormat="1" ht="14.25" customHeight="1" thickBot="1">
      <c r="A19" s="13"/>
      <c r="B19" s="474"/>
      <c r="C19" s="112"/>
      <c r="D19" s="270"/>
      <c r="E19" s="2659" t="s">
        <v>1812</v>
      </c>
      <c r="F19" s="2660"/>
      <c r="G19" s="2660"/>
      <c r="H19" s="2661"/>
      <c r="I19" s="2662">
        <v>96395</v>
      </c>
      <c r="J19" s="2663">
        <f>I19-I22</f>
        <v>75154</v>
      </c>
      <c r="K19" s="2664"/>
      <c r="L19" s="827" t="s">
        <v>796</v>
      </c>
      <c r="M19" s="906">
        <f>ROUNDDOWN(P19,1)</f>
        <v>5</v>
      </c>
      <c r="N19" s="13"/>
      <c r="O19" s="113"/>
      <c r="P19" s="2420">
        <f>IF(OR($M$7=0,Q20=""),0,IF(Q20&lt;=$Q$26,$P$26,IF(Q20&gt;=$Q$22,$P$22,Q20*$R$20+$S$20)))</f>
        <v>5</v>
      </c>
      <c r="Q19" s="2366" t="s">
        <v>2117</v>
      </c>
      <c r="R19" s="2366"/>
      <c r="S19" s="2366"/>
      <c r="T19" s="2428">
        <v>80653</v>
      </c>
      <c r="V19" s="113"/>
      <c r="W19" s="113"/>
      <c r="X19" s="113"/>
      <c r="Y19" s="113"/>
    </row>
    <row r="20" spans="1:25" s="15" customFormat="1" ht="14.25" customHeight="1">
      <c r="A20" s="13"/>
      <c r="B20" s="474"/>
      <c r="C20" s="112"/>
      <c r="D20" s="270"/>
      <c r="E20" s="2659" t="s">
        <v>1813</v>
      </c>
      <c r="F20" s="2660"/>
      <c r="G20" s="2660"/>
      <c r="H20" s="2661"/>
      <c r="I20" s="2665">
        <v>68315</v>
      </c>
      <c r="J20" s="2663">
        <f>I20-I22</f>
        <v>47074</v>
      </c>
      <c r="K20" s="2666">
        <f>IF(I22="","―",ROUNDDOWN((J19-J20)/J19,3))</f>
        <v>0.373</v>
      </c>
      <c r="L20" s="507"/>
      <c r="M20"/>
      <c r="N20" s="507"/>
      <c r="O20" s="113"/>
      <c r="P20" s="2421">
        <f>IF($Q$20&lt;=Q26,P26,IF($Q$20&lt;=Q25,P25,IF($Q$20&lt;=Q24,P24,IF($Q$20&lt;=Q23,P23,P22))))</f>
        <v>5</v>
      </c>
      <c r="Q20" s="2584">
        <f>IF(J19=0,"",J20/J19)</f>
        <v>0.62636719269766084</v>
      </c>
      <c r="R20" s="2366">
        <f>VLOOKUP(P20,P22:S26,3)</f>
        <v>0</v>
      </c>
      <c r="S20" s="2366">
        <f>VLOOKUP(P20,P22:S26,4)</f>
        <v>0</v>
      </c>
      <c r="T20" s="2428">
        <v>57551</v>
      </c>
      <c r="V20" s="113"/>
      <c r="W20" s="113"/>
      <c r="X20" s="113"/>
      <c r="Y20" s="113"/>
    </row>
    <row r="21" spans="1:25" ht="15.6">
      <c r="A21" s="2"/>
      <c r="B21" s="474"/>
      <c r="C21" s="112"/>
      <c r="D21" s="270"/>
      <c r="E21" s="2659" t="s">
        <v>1818</v>
      </c>
      <c r="F21" s="2660"/>
      <c r="G21" s="2660"/>
      <c r="H21" s="2661"/>
      <c r="I21" s="2665">
        <v>0</v>
      </c>
      <c r="J21" s="2667"/>
      <c r="K21" s="2668"/>
      <c r="N21" s="2"/>
      <c r="O21" s="284"/>
      <c r="P21" s="2422" t="s">
        <v>401</v>
      </c>
      <c r="Q21" s="2422" t="s">
        <v>1714</v>
      </c>
      <c r="R21" s="2366" t="s">
        <v>1712</v>
      </c>
      <c r="S21" s="2366" t="s">
        <v>1713</v>
      </c>
      <c r="T21" s="2429"/>
      <c r="U21" s="284"/>
      <c r="V21" s="284"/>
      <c r="W21" s="284"/>
      <c r="X21" s="284"/>
      <c r="Y21" s="284"/>
    </row>
    <row r="22" spans="1:25" ht="16.5" customHeight="1">
      <c r="A22" s="2"/>
      <c r="B22" s="474"/>
      <c r="C22" s="112"/>
      <c r="D22" s="270"/>
      <c r="E22" s="2659" t="s">
        <v>1814</v>
      </c>
      <c r="F22" s="2669"/>
      <c r="G22" s="2669"/>
      <c r="H22" s="2670"/>
      <c r="I22" s="2665">
        <v>21241</v>
      </c>
      <c r="J22" s="2671"/>
      <c r="K22" s="2672"/>
      <c r="N22" s="2"/>
      <c r="O22" s="284"/>
      <c r="P22" s="2422">
        <v>1</v>
      </c>
      <c r="Q22" s="2423">
        <v>1.1000000000000001</v>
      </c>
      <c r="R22" s="2366">
        <f>(P23-P22)/(Q23-Q22)</f>
        <v>-9.9999999999999911</v>
      </c>
      <c r="S22" s="2366">
        <f>P23-R22*Q23</f>
        <v>11.999999999999991</v>
      </c>
      <c r="T22" s="2429">
        <v>21241</v>
      </c>
      <c r="U22" s="284"/>
      <c r="V22" s="284"/>
      <c r="W22" s="284"/>
      <c r="X22" s="284"/>
      <c r="Y22" s="284"/>
    </row>
    <row r="23" spans="1:25" ht="16.5" customHeight="1">
      <c r="A23" s="2"/>
      <c r="B23" s="474"/>
      <c r="C23" s="112"/>
      <c r="D23" s="270"/>
      <c r="E23" s="2659" t="s">
        <v>1815</v>
      </c>
      <c r="F23" s="2669"/>
      <c r="G23" s="2669"/>
      <c r="H23" s="2673"/>
      <c r="I23" s="2674">
        <v>0</v>
      </c>
      <c r="J23" s="2671"/>
      <c r="K23" s="2672"/>
      <c r="L23" s="880"/>
      <c r="N23" s="2"/>
      <c r="O23" s="284"/>
      <c r="P23" s="2422">
        <v>2</v>
      </c>
      <c r="Q23" s="2423">
        <v>1</v>
      </c>
      <c r="R23" s="2366">
        <f>(P24-P23)/(Q24-Q23)</f>
        <v>-10.000000000000002</v>
      </c>
      <c r="S23" s="2366">
        <f>P24-R23*Q24</f>
        <v>12.000000000000002</v>
      </c>
      <c r="T23" s="2429">
        <v>31244</v>
      </c>
      <c r="U23" s="284"/>
      <c r="V23" s="284"/>
      <c r="W23" s="284"/>
      <c r="X23" s="284"/>
      <c r="Y23" s="284"/>
    </row>
    <row r="24" spans="1:25" ht="15.6">
      <c r="A24" s="2"/>
      <c r="B24" s="474"/>
      <c r="C24" s="112"/>
      <c r="D24" s="270"/>
      <c r="E24" s="2659" t="s">
        <v>1816</v>
      </c>
      <c r="F24" s="2675"/>
      <c r="G24" s="2675"/>
      <c r="H24" s="2676"/>
      <c r="I24" s="2674">
        <v>0</v>
      </c>
      <c r="J24" s="2671"/>
      <c r="K24" s="2672"/>
      <c r="N24" s="2"/>
      <c r="O24" s="284"/>
      <c r="P24" s="2422">
        <v>3</v>
      </c>
      <c r="Q24" s="2423">
        <v>0.9</v>
      </c>
      <c r="R24" s="2366">
        <f>(P25-P24)/(Q25-Q24)</f>
        <v>-10.000000000000002</v>
      </c>
      <c r="S24" s="2366">
        <f>P25-R24*Q25</f>
        <v>12.000000000000002</v>
      </c>
      <c r="T24" s="2429">
        <v>59482</v>
      </c>
      <c r="U24" s="284"/>
      <c r="V24" s="284"/>
      <c r="W24" s="284"/>
      <c r="X24" s="284"/>
      <c r="Y24" s="284"/>
    </row>
    <row r="25" spans="1:25" ht="16.2" thickBot="1">
      <c r="A25" s="2"/>
      <c r="B25" s="474"/>
      <c r="C25" s="112"/>
      <c r="D25" s="270"/>
      <c r="E25" s="2659" t="s">
        <v>1817</v>
      </c>
      <c r="F25" s="2675"/>
      <c r="G25" s="2675"/>
      <c r="H25" s="2677"/>
      <c r="I25" s="2678">
        <v>0</v>
      </c>
      <c r="J25" s="2679"/>
      <c r="K25" s="2680"/>
      <c r="N25" s="2"/>
      <c r="O25" s="284"/>
      <c r="P25" s="2422">
        <v>4</v>
      </c>
      <c r="Q25" s="2423">
        <v>0.8</v>
      </c>
      <c r="R25" s="2366">
        <f>(P26-P25)/(Q26-Q25)</f>
        <v>-9.9999999999999911</v>
      </c>
      <c r="S25" s="2366">
        <f>P26-R25*Q26</f>
        <v>11.999999999999993</v>
      </c>
      <c r="T25" s="284"/>
      <c r="U25" s="284"/>
      <c r="V25" s="284"/>
      <c r="W25" s="284"/>
      <c r="X25" s="284"/>
      <c r="Y25" s="284"/>
    </row>
    <row r="26" spans="1:25" ht="15.6">
      <c r="A26" s="2"/>
      <c r="B26" s="474"/>
      <c r="C26" s="112"/>
      <c r="D26" s="270"/>
      <c r="E26"/>
      <c r="F26"/>
      <c r="G26"/>
      <c r="H26"/>
      <c r="I26"/>
      <c r="J26"/>
      <c r="N26" s="2"/>
      <c r="O26" s="284"/>
      <c r="P26" s="2422">
        <v>5</v>
      </c>
      <c r="Q26" s="2423">
        <v>0.7</v>
      </c>
      <c r="R26" s="2366"/>
      <c r="S26" s="2366"/>
      <c r="T26" s="284"/>
      <c r="U26" s="284"/>
      <c r="V26" s="284"/>
      <c r="W26" s="284"/>
      <c r="X26" s="284"/>
      <c r="Y26" s="284"/>
    </row>
    <row r="27" spans="1:25" ht="16.5" hidden="1" customHeight="1">
      <c r="A27" s="2"/>
      <c r="B27" s="137"/>
      <c r="C27" s="504"/>
      <c r="D27" s="270"/>
      <c r="E27" s="2681"/>
      <c r="F27" s="2"/>
      <c r="G27" s="2"/>
      <c r="H27" s="2"/>
      <c r="I27" s="2"/>
      <c r="J27" s="2"/>
      <c r="K27" s="2"/>
      <c r="L27" s="2"/>
      <c r="M27" s="2"/>
      <c r="N27" s="2"/>
      <c r="P27" s="826"/>
      <c r="Q27" s="2160">
        <v>0.7</v>
      </c>
      <c r="R27">
        <v>-9.9999999999999893</v>
      </c>
      <c r="S27">
        <v>11.999999999999993</v>
      </c>
    </row>
    <row r="28" spans="1:25" ht="15.6" hidden="1">
      <c r="A28" s="2"/>
      <c r="B28" s="137"/>
      <c r="C28" s="504"/>
      <c r="D28" s="270"/>
      <c r="E28" s="3045"/>
      <c r="F28" s="3045"/>
      <c r="G28" s="3045"/>
      <c r="H28" s="3045"/>
      <c r="I28" s="3045"/>
      <c r="J28" s="3045"/>
      <c r="K28" s="2"/>
      <c r="L28" s="2"/>
      <c r="M28" s="2"/>
      <c r="N28" s="2"/>
    </row>
    <row r="29" spans="1:25" ht="15.6" hidden="1">
      <c r="A29" s="2"/>
      <c r="B29" s="137"/>
      <c r="C29" s="504"/>
      <c r="D29" s="270"/>
      <c r="E29" s="2682"/>
      <c r="F29" s="2682"/>
      <c r="G29" s="2682"/>
      <c r="H29" s="2682"/>
      <c r="I29" s="2682"/>
      <c r="J29" s="2682"/>
      <c r="K29" s="2"/>
      <c r="L29" s="2"/>
      <c r="M29" s="2"/>
      <c r="N29" s="2"/>
    </row>
    <row r="30" spans="1:25" ht="15.6">
      <c r="A30" s="2"/>
      <c r="B30" s="137"/>
      <c r="C30" s="504"/>
      <c r="D30" s="270"/>
      <c r="E30" s="1396" t="s">
        <v>1808</v>
      </c>
      <c r="F30" s="2682"/>
      <c r="G30" s="2682"/>
      <c r="H30" s="2682"/>
      <c r="I30" s="2682"/>
      <c r="J30" s="2682"/>
      <c r="K30" s="2"/>
      <c r="L30" s="2"/>
      <c r="M30" s="2"/>
      <c r="N30" s="2"/>
    </row>
    <row r="31" spans="1:25" ht="8.25" customHeight="1" thickBot="1">
      <c r="A31" s="2"/>
      <c r="B31" s="137"/>
      <c r="C31" s="504"/>
      <c r="D31" s="270"/>
      <c r="E31" s="2683"/>
      <c r="F31" s="2684"/>
      <c r="G31" s="2684"/>
      <c r="H31" s="2684"/>
      <c r="I31" s="2684"/>
      <c r="J31" s="2684"/>
      <c r="K31" s="2684"/>
      <c r="L31" s="2684"/>
      <c r="M31" s="2685"/>
      <c r="N31" s="22"/>
      <c r="O31" s="29"/>
      <c r="P31" s="29"/>
      <c r="Q31" s="29"/>
      <c r="R31" s="1398"/>
      <c r="S31" s="1397"/>
      <c r="T31" s="1397" t="s">
        <v>1804</v>
      </c>
      <c r="U31" s="1397" t="s">
        <v>55</v>
      </c>
    </row>
    <row r="32" spans="1:25" ht="16.5" customHeight="1" thickBot="1">
      <c r="A32" s="2"/>
      <c r="B32" s="137"/>
      <c r="C32" s="504"/>
      <c r="D32" s="270"/>
      <c r="E32" s="3047" t="s">
        <v>1678</v>
      </c>
      <c r="F32" s="3048"/>
      <c r="G32" s="3048"/>
      <c r="H32" s="3048"/>
      <c r="I32" s="3048"/>
      <c r="J32" s="3048"/>
      <c r="K32" s="3043" t="s">
        <v>1804</v>
      </c>
      <c r="L32" s="3044"/>
      <c r="M32" s="2688"/>
      <c r="N32" s="22"/>
      <c r="O32" s="29"/>
      <c r="P32" s="29"/>
      <c r="Q32" s="29"/>
      <c r="R32" s="2440" t="str">
        <f>VLOOKUP(K32,T31:U34,2,FALSE)</f>
        <v>-</v>
      </c>
      <c r="S32" s="1397"/>
      <c r="T32" s="1397" t="s">
        <v>931</v>
      </c>
      <c r="U32" s="1397">
        <v>1</v>
      </c>
    </row>
    <row r="33" spans="1:21" ht="21" customHeight="1">
      <c r="A33" s="2"/>
      <c r="B33" s="137"/>
      <c r="C33" s="504"/>
      <c r="D33" s="270"/>
      <c r="E33" s="3047"/>
      <c r="F33" s="3048"/>
      <c r="G33" s="3048"/>
      <c r="H33" s="3048"/>
      <c r="I33" s="3048"/>
      <c r="J33" s="3048"/>
      <c r="K33" s="10"/>
      <c r="L33" s="10"/>
      <c r="M33" s="2688"/>
      <c r="N33" s="22"/>
      <c r="O33" s="29"/>
      <c r="P33" s="29"/>
      <c r="Q33" s="29"/>
      <c r="R33" s="1398"/>
      <c r="S33" s="1397"/>
      <c r="T33" s="1397" t="s">
        <v>1677</v>
      </c>
      <c r="U33" s="1397">
        <v>2</v>
      </c>
    </row>
    <row r="34" spans="1:21" ht="18.75" customHeight="1">
      <c r="A34" s="2"/>
      <c r="B34" s="137"/>
      <c r="C34" s="504"/>
      <c r="D34" s="270"/>
      <c r="E34" s="3047"/>
      <c r="F34" s="3048"/>
      <c r="G34" s="3048"/>
      <c r="H34" s="3048"/>
      <c r="I34" s="3048"/>
      <c r="J34" s="3048"/>
      <c r="K34" s="10"/>
      <c r="L34" s="10"/>
      <c r="M34" s="2688"/>
      <c r="N34" s="22"/>
      <c r="O34" s="29"/>
      <c r="P34" s="29"/>
      <c r="Q34" s="29"/>
      <c r="R34" s="1398"/>
      <c r="S34" s="1397"/>
      <c r="T34" s="1397" t="s">
        <v>1676</v>
      </c>
      <c r="U34" s="1397">
        <v>4</v>
      </c>
    </row>
    <row r="35" spans="1:21" ht="6.75" customHeight="1" thickBot="1">
      <c r="A35" s="2"/>
      <c r="B35" s="137"/>
      <c r="C35" s="504"/>
      <c r="D35" s="270"/>
      <c r="E35" s="2686"/>
      <c r="F35" s="2687"/>
      <c r="G35" s="2687"/>
      <c r="H35" s="2687"/>
      <c r="I35" s="2687"/>
      <c r="J35" s="1331"/>
      <c r="K35" s="10"/>
      <c r="L35" s="10"/>
      <c r="M35" s="2688"/>
      <c r="N35" s="22"/>
      <c r="O35" s="29"/>
      <c r="P35" s="29"/>
      <c r="Q35" s="29"/>
      <c r="R35" s="1398"/>
      <c r="S35" s="1397"/>
      <c r="T35" s="1397"/>
      <c r="U35" s="1397"/>
    </row>
    <row r="36" spans="1:21" ht="16.5" customHeight="1" thickBot="1">
      <c r="A36" s="2"/>
      <c r="B36" s="137"/>
      <c r="C36" s="504"/>
      <c r="D36" s="270"/>
      <c r="E36" s="2689" t="s">
        <v>882</v>
      </c>
      <c r="F36" s="2690"/>
      <c r="G36" s="10"/>
      <c r="H36" s="10"/>
      <c r="I36" s="10"/>
      <c r="J36" s="1331" t="s">
        <v>884</v>
      </c>
      <c r="K36" s="2690"/>
      <c r="L36" s="10"/>
      <c r="M36" s="2688"/>
      <c r="N36" s="22"/>
      <c r="O36" s="29"/>
      <c r="P36" s="29"/>
      <c r="Q36" s="29"/>
      <c r="S36"/>
      <c r="T36" t="s">
        <v>749</v>
      </c>
      <c r="U36" t="s">
        <v>1138</v>
      </c>
    </row>
    <row r="37" spans="1:21" ht="16.5" customHeight="1">
      <c r="A37" s="2"/>
      <c r="B37" s="137"/>
      <c r="C37" s="504"/>
      <c r="D37" s="270"/>
      <c r="E37" s="2691"/>
      <c r="F37" s="10" t="s">
        <v>887</v>
      </c>
      <c r="G37" s="10"/>
      <c r="H37" s="10"/>
      <c r="I37" s="10"/>
      <c r="J37" s="1331"/>
      <c r="K37" s="10" t="s">
        <v>938</v>
      </c>
      <c r="L37" s="10"/>
      <c r="M37" s="2688"/>
      <c r="N37" s="22"/>
      <c r="O37" s="29"/>
      <c r="P37" s="29"/>
      <c r="Q37" s="29"/>
      <c r="S37"/>
      <c r="T37" t="s">
        <v>751</v>
      </c>
      <c r="U37" t="s">
        <v>1139</v>
      </c>
    </row>
    <row r="38" spans="1:21" ht="16.5" customHeight="1">
      <c r="A38" s="2"/>
      <c r="B38" s="137"/>
      <c r="C38" s="504"/>
      <c r="D38" s="270"/>
      <c r="E38" s="2691"/>
      <c r="F38" s="10" t="s">
        <v>890</v>
      </c>
      <c r="G38" s="10"/>
      <c r="H38" s="10"/>
      <c r="I38" s="10"/>
      <c r="J38" s="1331"/>
      <c r="K38" s="10" t="s">
        <v>939</v>
      </c>
      <c r="L38" s="10"/>
      <c r="M38" s="2688"/>
      <c r="N38" s="22"/>
      <c r="O38" s="29"/>
      <c r="P38" s="29"/>
      <c r="Q38" s="29"/>
      <c r="S38"/>
      <c r="T38" t="s">
        <v>1780</v>
      </c>
      <c r="U38" t="s">
        <v>435</v>
      </c>
    </row>
    <row r="39" spans="1:21" ht="16.5" customHeight="1">
      <c r="A39" s="2"/>
      <c r="B39" s="137"/>
      <c r="C39" s="504"/>
      <c r="D39" s="270"/>
      <c r="E39" s="2691"/>
      <c r="F39" s="10" t="s">
        <v>891</v>
      </c>
      <c r="G39" s="10"/>
      <c r="H39" s="10"/>
      <c r="I39" s="10"/>
      <c r="J39" s="1331"/>
      <c r="K39" s="2692" t="s">
        <v>940</v>
      </c>
      <c r="L39" s="10"/>
      <c r="M39" s="2688"/>
      <c r="N39" s="22"/>
      <c r="O39" s="29"/>
      <c r="P39" s="29"/>
      <c r="Q39" s="29"/>
      <c r="S39"/>
      <c r="T39" t="s">
        <v>435</v>
      </c>
      <c r="U39"/>
    </row>
    <row r="40" spans="1:21" ht="16.5" customHeight="1">
      <c r="A40" s="2"/>
      <c r="B40" s="137"/>
      <c r="C40" s="504"/>
      <c r="D40" s="270"/>
      <c r="E40" s="2693"/>
      <c r="F40" s="2694" t="s">
        <v>940</v>
      </c>
      <c r="G40" s="2695"/>
      <c r="H40" s="2695"/>
      <c r="I40" s="2695"/>
      <c r="J40" s="2696"/>
      <c r="K40" s="2695"/>
      <c r="L40" s="2695"/>
      <c r="M40" s="2697"/>
      <c r="N40" s="22"/>
      <c r="O40" s="29"/>
      <c r="P40" s="29"/>
      <c r="Q40" s="29"/>
      <c r="S40"/>
      <c r="T40" t="s">
        <v>435</v>
      </c>
      <c r="U40"/>
    </row>
    <row r="41" spans="1:21" ht="15.6">
      <c r="A41" s="2"/>
      <c r="B41" s="137"/>
      <c r="C41" s="504"/>
      <c r="D41" s="270"/>
      <c r="E41" s="270"/>
      <c r="F41" s="2"/>
      <c r="G41" s="2"/>
      <c r="H41" s="2"/>
      <c r="I41" s="2"/>
      <c r="J41" s="2"/>
      <c r="K41" s="2"/>
      <c r="L41" s="2"/>
      <c r="M41" s="2"/>
      <c r="N41" s="2"/>
      <c r="P41"/>
      <c r="Q41"/>
      <c r="R41"/>
      <c r="S41"/>
      <c r="T41"/>
    </row>
    <row r="42" spans="1:21" ht="15.6" hidden="1">
      <c r="A42" s="2"/>
      <c r="B42" s="137"/>
      <c r="C42" s="504"/>
      <c r="D42" s="2698" t="s">
        <v>2119</v>
      </c>
      <c r="E42" s="1188" t="s">
        <v>2114</v>
      </c>
      <c r="F42" s="2699">
        <v>205</v>
      </c>
      <c r="G42" t="s">
        <v>2115</v>
      </c>
      <c r="H42" s="8" t="str">
        <f>Q42</f>
        <v>代表室ではありません</v>
      </c>
      <c r="I42" s="2"/>
      <c r="J42" s="2"/>
      <c r="K42" s="2"/>
      <c r="L42" s="2"/>
      <c r="M42" s="2557">
        <v>2</v>
      </c>
      <c r="N42" s="2"/>
      <c r="O42" s="2549" t="s">
        <v>1927</v>
      </c>
      <c r="Q42" s="2586" t="s">
        <v>2118</v>
      </c>
      <c r="R42"/>
      <c r="S42"/>
      <c r="T42"/>
    </row>
    <row r="43" spans="1:21" ht="13.8" hidden="1" thickBot="1">
      <c r="A43" s="2"/>
      <c r="B43"/>
      <c r="C43"/>
      <c r="D43"/>
      <c r="E43" s="1396" t="s">
        <v>1809</v>
      </c>
      <c r="F43"/>
      <c r="G43"/>
      <c r="H43"/>
      <c r="I43" s="2"/>
      <c r="J43" s="2"/>
      <c r="K43" s="2653" t="s">
        <v>1828</v>
      </c>
      <c r="L43" s="2"/>
      <c r="M43" s="2"/>
      <c r="N43" s="2"/>
      <c r="P43"/>
      <c r="Q43"/>
      <c r="R43"/>
      <c r="S43"/>
      <c r="T43"/>
    </row>
    <row r="44" spans="1:21" ht="15" hidden="1" thickBot="1">
      <c r="A44" s="2"/>
      <c r="B44"/>
      <c r="C44"/>
      <c r="D44"/>
      <c r="J44" s="1188" t="s">
        <v>2116</v>
      </c>
      <c r="K44" s="2700">
        <v>0.1</v>
      </c>
      <c r="L44" s="827" t="s">
        <v>796</v>
      </c>
      <c r="M44" s="906">
        <f>ROUNDDOWN(P44,1)</f>
        <v>0</v>
      </c>
      <c r="N44" s="13"/>
      <c r="O44" s="113"/>
      <c r="P44" s="2420">
        <f>IF(OR($M$7=0,Q45=""),0,IF(Q45&lt;=$Q$26,$P$26,IF(Q45&gt;=$Q$22,$P$22,Q45*$R$20+$S$20)))</f>
        <v>0</v>
      </c>
      <c r="Q44" s="2366" t="s">
        <v>2117</v>
      </c>
      <c r="R44" s="2366"/>
      <c r="S44" s="2366"/>
      <c r="T44"/>
    </row>
    <row r="45" spans="1:21" ht="13.2" hidden="1">
      <c r="A45" s="2"/>
      <c r="B45"/>
      <c r="C45"/>
      <c r="D45"/>
      <c r="E45"/>
      <c r="F45"/>
      <c r="G45"/>
      <c r="H45"/>
      <c r="I45"/>
      <c r="J45"/>
      <c r="K45"/>
      <c r="L45"/>
      <c r="M45"/>
      <c r="N45" s="507"/>
      <c r="O45" s="113"/>
      <c r="P45" s="2421">
        <f>IF($Q$45&lt;=Q26,P26,IF($Q$45&lt;=Q25,P25,IF($Q$45&lt;=Q24,P24,IF($Q$45&lt;=Q23,P23,P22))))</f>
        <v>3</v>
      </c>
      <c r="Q45" s="2585">
        <f>1-K44</f>
        <v>0.9</v>
      </c>
      <c r="R45" s="2366">
        <f>VLOOKUP(P45,P22:S26,3)</f>
        <v>-10.000000000000002</v>
      </c>
      <c r="S45" s="2366">
        <f>VLOOKUP(P45,P22:S26,4)</f>
        <v>12.000000000000002</v>
      </c>
      <c r="T45"/>
    </row>
    <row r="46" spans="1:21" ht="15.6">
      <c r="A46" s="2"/>
      <c r="B46" s="137"/>
      <c r="C46" s="504"/>
      <c r="D46" s="29"/>
      <c r="E46" s="646" t="s">
        <v>3</v>
      </c>
      <c r="F46" s="647"/>
      <c r="G46" s="2441"/>
      <c r="H46" s="2442"/>
      <c r="I46" s="990"/>
      <c r="J46" s="990"/>
      <c r="K46" s="990"/>
      <c r="L46" s="990"/>
      <c r="M46" s="991"/>
      <c r="N46" s="2"/>
      <c r="P46"/>
      <c r="U46"/>
    </row>
    <row r="47" spans="1:21" ht="16.5" customHeight="1">
      <c r="A47" s="2"/>
      <c r="B47"/>
      <c r="C47"/>
      <c r="D47"/>
      <c r="E47"/>
      <c r="F47"/>
      <c r="G47"/>
      <c r="H47"/>
      <c r="I47"/>
      <c r="J47"/>
      <c r="K47"/>
      <c r="L47"/>
      <c r="M47"/>
      <c r="N47"/>
      <c r="O47"/>
      <c r="P47"/>
      <c r="U47"/>
    </row>
    <row r="48" spans="1:21" ht="15.6">
      <c r="A48" s="2"/>
      <c r="B48" s="476">
        <v>1.2</v>
      </c>
      <c r="C48" s="23" t="str">
        <f>重み!C71</f>
        <v>太陽光発電設備の導入</v>
      </c>
      <c r="D48" s="23"/>
      <c r="E48" s="30"/>
      <c r="F48" s="30"/>
      <c r="G48" s="30"/>
      <c r="H48" s="30"/>
      <c r="I48" s="30"/>
      <c r="J48" s="128"/>
      <c r="K48" s="128"/>
      <c r="L48" s="128"/>
      <c r="M48" s="128"/>
      <c r="N48" s="2"/>
      <c r="P48" s="335"/>
      <c r="T48" s="499"/>
      <c r="U48" s="335"/>
    </row>
    <row r="49" spans="1:25" s="15" customFormat="1" ht="16.5" customHeight="1" thickBot="1">
      <c r="A49" s="13"/>
      <c r="D49" s="2701"/>
      <c r="E49" s="13"/>
      <c r="F49" s="13"/>
      <c r="G49" s="13"/>
      <c r="H49" s="13"/>
      <c r="I49" s="22"/>
      <c r="K49" s="22"/>
      <c r="L49" s="148" t="s">
        <v>2</v>
      </c>
      <c r="M49" s="145">
        <f>重み!M71</f>
        <v>0.45</v>
      </c>
      <c r="N49" s="13"/>
      <c r="O49" s="29" t="str">
        <f>C48</f>
        <v>太陽光発電設備の導入</v>
      </c>
      <c r="P49" s="29">
        <f>D48</f>
        <v>0</v>
      </c>
      <c r="Q49" s="284">
        <f t="shared" ref="Q49" si="1">E49</f>
        <v>0</v>
      </c>
      <c r="R49" s="284">
        <f t="shared" ref="R49" si="2">F49</f>
        <v>0</v>
      </c>
      <c r="S49" s="284">
        <f>G49</f>
        <v>0</v>
      </c>
      <c r="T49" s="284">
        <f t="shared" ref="T49" si="3">H49</f>
        <v>0</v>
      </c>
      <c r="U49" s="284">
        <f t="shared" ref="U49" si="4">I49</f>
        <v>0</v>
      </c>
      <c r="V49" s="284">
        <f>J49</f>
        <v>0</v>
      </c>
      <c r="W49" s="284">
        <f>K49</f>
        <v>0</v>
      </c>
      <c r="X49" s="284" t="str">
        <f>L49</f>
        <v>重み係数＝</v>
      </c>
      <c r="Y49" s="284">
        <f>M49</f>
        <v>0.45</v>
      </c>
    </row>
    <row r="50" spans="1:25" ht="16.5" customHeight="1" thickBot="1">
      <c r="A50" s="2"/>
      <c r="B50" s="137"/>
      <c r="C50" s="2"/>
      <c r="D50" s="865">
        <v>3</v>
      </c>
      <c r="E50" s="2934" t="s">
        <v>415</v>
      </c>
      <c r="F50" s="2935"/>
      <c r="G50" s="2935"/>
      <c r="H50" s="2935"/>
      <c r="I50" s="2935"/>
      <c r="J50" s="2935"/>
      <c r="K50" s="2935"/>
      <c r="L50" s="2935"/>
      <c r="M50" s="2936"/>
      <c r="N50" s="2"/>
    </row>
    <row r="51" spans="1:25" ht="16.5" customHeight="1">
      <c r="A51" s="2"/>
      <c r="B51" s="137"/>
      <c r="C51" s="2"/>
      <c r="D51" s="25" t="str">
        <f>IF(D50=$Q$14,$R$9,IF(ROUNDDOWN(D50,0)=$Q$9,$S$9,$R$9))</f>
        <v>　レベル　1</v>
      </c>
      <c r="E51" s="438" t="s">
        <v>1646</v>
      </c>
      <c r="F51" s="487"/>
      <c r="G51" s="487"/>
      <c r="H51" s="487"/>
      <c r="I51" s="487"/>
      <c r="J51" s="487"/>
      <c r="K51" s="487"/>
      <c r="L51" s="487"/>
      <c r="M51" s="488"/>
      <c r="N51" s="2"/>
      <c r="P51" s="491" t="s">
        <v>55</v>
      </c>
      <c r="R51" s="2437" t="s">
        <v>1823</v>
      </c>
      <c r="S51" s="2439">
        <f>J19</f>
        <v>75154</v>
      </c>
      <c r="T51" s="2434"/>
      <c r="U51" s="491">
        <f>$Q$9</f>
        <v>1</v>
      </c>
    </row>
    <row r="52" spans="1:25" ht="16.5" customHeight="1">
      <c r="A52" s="2"/>
      <c r="B52" s="137"/>
      <c r="C52" s="2"/>
      <c r="D52" s="28" t="str">
        <f>IF(D50=$Q$14,$R$10,IF(ROUNDDOWN(D50,0)=$Q$10,$S$10,$R$10))</f>
        <v>　レベル　2</v>
      </c>
      <c r="E52" s="439" t="s">
        <v>409</v>
      </c>
      <c r="F52" s="489"/>
      <c r="G52" s="489"/>
      <c r="H52" s="489"/>
      <c r="I52" s="489"/>
      <c r="J52" s="489"/>
      <c r="K52" s="489"/>
      <c r="L52" s="489"/>
      <c r="M52" s="490"/>
      <c r="N52" s="2"/>
      <c r="P52" s="491" t="s">
        <v>55</v>
      </c>
      <c r="R52" s="2437" t="s">
        <v>1824</v>
      </c>
      <c r="S52" s="2439">
        <f>J20</f>
        <v>47074</v>
      </c>
      <c r="T52" s="2434"/>
      <c r="U52" s="491">
        <f>$Q$10</f>
        <v>2</v>
      </c>
    </row>
    <row r="53" spans="1:25" ht="16.5" customHeight="1">
      <c r="A53" s="2"/>
      <c r="B53" s="137"/>
      <c r="C53" s="2"/>
      <c r="D53" s="28" t="str">
        <f>IF(D50=$Q$14,$R$11,IF(ROUNDDOWN(D50,0)=$Q$11,$S$11,$R$11))</f>
        <v>■レベル　3</v>
      </c>
      <c r="E53" s="439" t="s">
        <v>1679</v>
      </c>
      <c r="F53" s="489"/>
      <c r="G53" s="489"/>
      <c r="H53" s="489"/>
      <c r="I53" s="489"/>
      <c r="J53" s="489"/>
      <c r="K53" s="489"/>
      <c r="L53" s="489"/>
      <c r="M53" s="490"/>
      <c r="N53" s="2"/>
      <c r="P53" s="491">
        <f>$Q$11</f>
        <v>3</v>
      </c>
      <c r="R53" s="2437" t="s">
        <v>1819</v>
      </c>
      <c r="S53" s="2439">
        <f>I24</f>
        <v>0</v>
      </c>
      <c r="T53" s="2434"/>
      <c r="U53" s="491">
        <f>$Q$11</f>
        <v>3</v>
      </c>
    </row>
    <row r="54" spans="1:25" ht="25.2" customHeight="1">
      <c r="A54" s="2"/>
      <c r="B54" s="137"/>
      <c r="C54" s="2"/>
      <c r="D54" s="28" t="str">
        <f>IF(D50=$Q$14,$R$12,IF(ROUNDDOWN(D50,0)=$Q$12,$S$12,$R$12))</f>
        <v>　レベル　4</v>
      </c>
      <c r="E54" s="2967" t="s">
        <v>1844</v>
      </c>
      <c r="F54" s="2968"/>
      <c r="G54" s="2968"/>
      <c r="H54" s="2968"/>
      <c r="I54" s="2968"/>
      <c r="J54" s="2968"/>
      <c r="K54" s="2968"/>
      <c r="L54" s="2968"/>
      <c r="M54" s="2969"/>
      <c r="N54" s="2"/>
      <c r="P54" s="491">
        <f>$Q$12</f>
        <v>4</v>
      </c>
      <c r="Q54" s="499"/>
      <c r="R54" s="2437" t="s">
        <v>1820</v>
      </c>
      <c r="S54" s="2439">
        <f>I21</f>
        <v>0</v>
      </c>
      <c r="T54" s="2434"/>
      <c r="U54" s="491">
        <f>$Q$12</f>
        <v>4</v>
      </c>
    </row>
    <row r="55" spans="1:25" ht="25.2" customHeight="1">
      <c r="A55" s="2"/>
      <c r="B55" s="137"/>
      <c r="C55" s="2"/>
      <c r="D55" s="26" t="str">
        <f>IF(D50=$Q$14,$R$13,IF(ROUNDDOWN(D50,0)=$Q$13,$S$13,$R$13))</f>
        <v>　レベル　5</v>
      </c>
      <c r="E55" s="2963" t="s">
        <v>1845</v>
      </c>
      <c r="F55" s="2964"/>
      <c r="G55" s="2964"/>
      <c r="H55" s="2964"/>
      <c r="I55" s="2964"/>
      <c r="J55" s="2964"/>
      <c r="K55" s="2964"/>
      <c r="L55" s="2964"/>
      <c r="M55" s="2965"/>
      <c r="N55" s="2"/>
      <c r="P55" s="491">
        <f>$Q$13</f>
        <v>5</v>
      </c>
      <c r="R55" s="2437" t="s">
        <v>1821</v>
      </c>
      <c r="S55" s="2439">
        <f>I25</f>
        <v>0</v>
      </c>
      <c r="T55" s="2434"/>
      <c r="U55" s="491">
        <f>$Q$13</f>
        <v>5</v>
      </c>
    </row>
    <row r="56" spans="1:25" ht="10.5" customHeight="1">
      <c r="A56" s="2"/>
      <c r="B56" s="137"/>
      <c r="C56" s="27"/>
      <c r="D56" s="30"/>
      <c r="E56" s="30"/>
      <c r="F56" s="30"/>
      <c r="G56" s="30"/>
      <c r="H56" s="30"/>
      <c r="I56" s="30"/>
      <c r="J56" s="128"/>
      <c r="K56" s="128"/>
      <c r="L56" s="128"/>
      <c r="M56" s="128"/>
      <c r="N56" s="2"/>
      <c r="P56" s="986" t="s">
        <v>87</v>
      </c>
      <c r="Q56" s="284" t="s">
        <v>87</v>
      </c>
      <c r="R56" s="2437" t="s">
        <v>1822</v>
      </c>
      <c r="S56" s="2438">
        <f>(S51-S52+S53+S54+S55)/S51</f>
        <v>0.37363280730233922</v>
      </c>
      <c r="T56" s="2435"/>
      <c r="U56" s="511"/>
      <c r="X56" s="2431"/>
    </row>
    <row r="57" spans="1:25" customFormat="1" ht="13.2">
      <c r="E57" s="2701" t="s">
        <v>1831</v>
      </c>
      <c r="F57" s="4"/>
      <c r="G57" s="2702">
        <f>SUM(G58:G60)</f>
        <v>28080</v>
      </c>
      <c r="H57" s="2653"/>
      <c r="I57" s="2703" t="s">
        <v>1829</v>
      </c>
      <c r="J57" s="2702">
        <f>J19</f>
        <v>75154</v>
      </c>
      <c r="K57" s="2704" t="s">
        <v>1830</v>
      </c>
      <c r="L57" s="2705">
        <f>G57/J57</f>
        <v>0.37363280730233922</v>
      </c>
      <c r="P57" s="4"/>
      <c r="Q57" s="4"/>
    </row>
    <row r="58" spans="1:25" customFormat="1" ht="13.2">
      <c r="E58" s="2653" t="s">
        <v>1837</v>
      </c>
      <c r="F58" s="4"/>
      <c r="G58" s="2702">
        <f>J57-J20+I21</f>
        <v>28080</v>
      </c>
      <c r="H58" s="4"/>
      <c r="I58" s="4"/>
      <c r="J58" s="4"/>
      <c r="P58" s="4"/>
      <c r="Q58" s="4"/>
    </row>
    <row r="59" spans="1:25" customFormat="1" ht="13.2">
      <c r="E59" s="2653" t="s">
        <v>1838</v>
      </c>
      <c r="F59" s="4"/>
      <c r="G59" s="2702">
        <f>I25</f>
        <v>0</v>
      </c>
      <c r="H59" s="4"/>
      <c r="I59" s="4"/>
      <c r="J59" s="4"/>
      <c r="P59" s="4"/>
      <c r="Q59" s="4"/>
    </row>
    <row r="60" spans="1:25" customFormat="1" ht="13.2">
      <c r="E60" s="2653" t="s">
        <v>1839</v>
      </c>
      <c r="F60" s="4"/>
      <c r="G60" s="2702">
        <f>I24</f>
        <v>0</v>
      </c>
      <c r="H60" s="4"/>
      <c r="I60" s="4"/>
      <c r="J60" s="4"/>
      <c r="P60" s="4"/>
      <c r="Q60" s="4"/>
    </row>
    <row r="61" spans="1:25" customFormat="1" ht="13.2" hidden="1">
      <c r="D61" s="2698" t="s">
        <v>2119</v>
      </c>
      <c r="E61" s="2701" t="s">
        <v>1831</v>
      </c>
      <c r="F61" s="4"/>
      <c r="G61" s="2702">
        <f>SUM(G62:G64)</f>
        <v>59971</v>
      </c>
      <c r="H61" s="2653"/>
      <c r="I61" s="2703" t="s">
        <v>1829</v>
      </c>
      <c r="J61" s="2702">
        <v>59412</v>
      </c>
      <c r="K61" s="2704" t="s">
        <v>1830</v>
      </c>
      <c r="L61" s="2705">
        <f>G61/J61</f>
        <v>1.0094088736282232</v>
      </c>
      <c r="P61" s="4"/>
      <c r="Q61" s="4"/>
    </row>
    <row r="62" spans="1:25" customFormat="1" ht="13.2" hidden="1">
      <c r="E62" s="2653" t="s">
        <v>1837</v>
      </c>
      <c r="F62" s="4"/>
      <c r="G62" s="2702">
        <v>16091</v>
      </c>
      <c r="H62" s="4"/>
      <c r="I62" s="4"/>
      <c r="J62" s="4"/>
      <c r="P62" s="4"/>
      <c r="Q62" s="4"/>
    </row>
    <row r="63" spans="1:25" customFormat="1" ht="13.2" hidden="1">
      <c r="E63" s="2653" t="s">
        <v>1838</v>
      </c>
      <c r="F63" s="4"/>
      <c r="G63" s="2702">
        <v>0</v>
      </c>
      <c r="H63" s="4"/>
      <c r="I63" s="4"/>
      <c r="J63" s="4"/>
      <c r="P63" s="4"/>
      <c r="Q63" s="4"/>
    </row>
    <row r="64" spans="1:25" customFormat="1" ht="13.2" hidden="1">
      <c r="E64" s="2653" t="s">
        <v>1839</v>
      </c>
      <c r="F64" s="4"/>
      <c r="G64" s="2702">
        <v>43880</v>
      </c>
      <c r="H64" s="4"/>
      <c r="I64" s="4"/>
      <c r="J64" s="4"/>
      <c r="P64" s="4"/>
      <c r="Q64" s="4"/>
    </row>
    <row r="65" spans="1:27" customFormat="1" ht="10.5" customHeight="1"/>
    <row r="66" spans="1:27" s="29" customFormat="1" ht="21" customHeight="1">
      <c r="A66" s="19"/>
      <c r="B66" s="137"/>
      <c r="C66" s="504"/>
      <c r="E66" s="646" t="s">
        <v>3</v>
      </c>
      <c r="F66" s="647"/>
      <c r="G66" s="2441"/>
      <c r="H66" s="2442"/>
      <c r="I66" s="990"/>
      <c r="J66" s="990"/>
      <c r="K66" s="990"/>
      <c r="L66" s="990"/>
      <c r="M66" s="991"/>
      <c r="N66" s="22"/>
      <c r="P66" s="511"/>
      <c r="Q66" s="284"/>
      <c r="R66" s="4"/>
      <c r="S66" s="1987"/>
      <c r="T66" s="2436"/>
      <c r="U66" s="511"/>
      <c r="V66" s="113"/>
      <c r="W66" s="113"/>
      <c r="X66" s="113"/>
      <c r="Y66" s="113"/>
    </row>
    <row r="67" spans="1:27" ht="10.5" customHeight="1">
      <c r="A67" s="2"/>
      <c r="B67" s="137"/>
      <c r="C67" s="27"/>
      <c r="D67" s="30"/>
      <c r="E67" s="30"/>
      <c r="F67" s="30"/>
      <c r="G67" s="30"/>
      <c r="H67" s="30"/>
      <c r="I67" s="30"/>
      <c r="J67" s="128"/>
      <c r="K67" s="128"/>
      <c r="L67" s="128"/>
      <c r="M67" s="128"/>
      <c r="N67" s="2"/>
      <c r="P67" s="511"/>
      <c r="S67" s="1987"/>
      <c r="T67" s="2432"/>
      <c r="U67" s="511"/>
    </row>
    <row r="68" spans="1:27" ht="15.6">
      <c r="A68" s="2"/>
      <c r="B68" s="476">
        <v>1.3</v>
      </c>
      <c r="C68" s="23" t="s">
        <v>585</v>
      </c>
      <c r="D68" s="23"/>
      <c r="E68" s="30"/>
      <c r="F68" s="30"/>
      <c r="G68" s="30"/>
      <c r="H68" s="30"/>
      <c r="I68" s="30"/>
      <c r="J68" s="128"/>
      <c r="K68" s="128"/>
      <c r="L68" s="128"/>
      <c r="M68" s="128"/>
      <c r="N68" s="2"/>
      <c r="P68" s="335"/>
      <c r="T68" s="2433"/>
      <c r="U68" s="335"/>
    </row>
    <row r="69" spans="1:27" s="15" customFormat="1" ht="16.5" customHeight="1" thickBot="1">
      <c r="A69" s="13"/>
      <c r="E69" s="13"/>
      <c r="F69" s="13"/>
      <c r="G69" s="13"/>
      <c r="H69" s="13"/>
      <c r="I69" s="22"/>
      <c r="K69" s="22"/>
      <c r="L69" s="148" t="s">
        <v>2</v>
      </c>
      <c r="M69" s="145">
        <f>重み!M72</f>
        <v>0.1</v>
      </c>
      <c r="N69" s="13"/>
      <c r="O69" s="29" t="str">
        <f>C68</f>
        <v>家電・厨房機器による省エネ</v>
      </c>
      <c r="P69" s="29">
        <f>D68</f>
        <v>0</v>
      </c>
      <c r="Q69" s="284">
        <f t="shared" ref="Q69:U69" si="5">E69</f>
        <v>0</v>
      </c>
      <c r="R69" s="284">
        <f t="shared" si="5"/>
        <v>0</v>
      </c>
      <c r="S69" s="284">
        <f t="shared" si="5"/>
        <v>0</v>
      </c>
      <c r="T69" s="284">
        <f t="shared" si="5"/>
        <v>0</v>
      </c>
      <c r="U69" s="284">
        <f t="shared" si="5"/>
        <v>0</v>
      </c>
      <c r="V69" s="284">
        <f>J69</f>
        <v>0</v>
      </c>
      <c r="W69" s="284">
        <f>K69</f>
        <v>0</v>
      </c>
      <c r="X69" s="284" t="str">
        <f>L69</f>
        <v>重み係数＝</v>
      </c>
      <c r="Y69" s="284">
        <f>M69</f>
        <v>0.1</v>
      </c>
    </row>
    <row r="70" spans="1:27" ht="16.5" customHeight="1" thickBot="1">
      <c r="A70" s="2"/>
      <c r="B70" s="137"/>
      <c r="C70" s="2"/>
      <c r="D70" s="865">
        <f>IF(メイン!C11=メイン!I10,E78,E92)</f>
        <v>4</v>
      </c>
      <c r="E70" s="2934" t="s">
        <v>415</v>
      </c>
      <c r="F70" s="2935"/>
      <c r="G70" s="2935"/>
      <c r="H70" s="2935"/>
      <c r="I70" s="2935"/>
      <c r="J70" s="2935"/>
      <c r="K70" s="2935"/>
      <c r="L70" s="2935"/>
      <c r="M70" s="2936"/>
      <c r="N70" s="2"/>
    </row>
    <row r="71" spans="1:27" ht="16.5" customHeight="1">
      <c r="A71" s="2"/>
      <c r="B71" s="137"/>
      <c r="C71" s="2"/>
      <c r="D71" s="25" t="str">
        <f>IF(D70=$Q$14,$R$9,IF(ROUNDDOWN(D70,0)=$Q$9,$S$9,$R$9))</f>
        <v>　レベル　1</v>
      </c>
      <c r="E71" s="438" t="s">
        <v>586</v>
      </c>
      <c r="F71" s="487"/>
      <c r="G71" s="487"/>
      <c r="H71" s="487"/>
      <c r="I71" s="487"/>
      <c r="J71" s="487"/>
      <c r="K71" s="487"/>
      <c r="L71" s="487"/>
      <c r="M71" s="488"/>
      <c r="N71" s="2"/>
      <c r="O71" s="2549" t="s">
        <v>1926</v>
      </c>
      <c r="P71" s="491">
        <f>$Q$9</f>
        <v>1</v>
      </c>
      <c r="U71" s="491">
        <f>$Q$9</f>
        <v>1</v>
      </c>
    </row>
    <row r="72" spans="1:27" ht="16.5" customHeight="1">
      <c r="A72" s="2"/>
      <c r="B72" s="137"/>
      <c r="C72" s="2"/>
      <c r="D72" s="28" t="str">
        <f>IF(D70=$Q$14,$R$10,IF(ROUNDDOWN(D70,0)=$Q$10,$S$10,$R$10))</f>
        <v>　レベル　2</v>
      </c>
      <c r="E72" s="439" t="s">
        <v>409</v>
      </c>
      <c r="F72" s="489"/>
      <c r="G72" s="489"/>
      <c r="H72" s="489"/>
      <c r="I72" s="489"/>
      <c r="J72" s="489"/>
      <c r="K72" s="489"/>
      <c r="L72" s="489"/>
      <c r="M72" s="490"/>
      <c r="N72" s="2"/>
      <c r="P72" s="491" t="s">
        <v>68</v>
      </c>
      <c r="U72" s="491">
        <f>$Q$10</f>
        <v>2</v>
      </c>
    </row>
    <row r="73" spans="1:27" ht="16.5" customHeight="1">
      <c r="A73" s="2"/>
      <c r="B73" s="137"/>
      <c r="C73" s="2"/>
      <c r="D73" s="28" t="str">
        <f>IF(D70=$Q$14,$R$11,IF(ROUNDDOWN(D70,0)=$Q$11,$S$11,$R$11))</f>
        <v>　レベル　3</v>
      </c>
      <c r="E73" s="439" t="s">
        <v>587</v>
      </c>
      <c r="F73" s="489"/>
      <c r="G73" s="489"/>
      <c r="H73" s="489"/>
      <c r="I73" s="489"/>
      <c r="J73" s="489"/>
      <c r="K73" s="489"/>
      <c r="L73" s="489"/>
      <c r="M73" s="490"/>
      <c r="N73" s="2"/>
      <c r="P73" s="491">
        <f>$Q$11</f>
        <v>3</v>
      </c>
      <c r="U73" s="491">
        <f>$Q$11</f>
        <v>3</v>
      </c>
    </row>
    <row r="74" spans="1:27" ht="16.5" customHeight="1">
      <c r="A74" s="2"/>
      <c r="B74" s="137"/>
      <c r="C74" s="2"/>
      <c r="D74" s="28" t="str">
        <f>IF(D70=$Q$14,$R$12,IF(ROUNDDOWN(D70,0)=$Q$12,$S$12,$R$12))</f>
        <v>■レベル　4</v>
      </c>
      <c r="E74" s="451" t="s">
        <v>588</v>
      </c>
      <c r="F74" s="2630"/>
      <c r="G74" s="2630"/>
      <c r="H74" s="2630"/>
      <c r="I74" s="2630"/>
      <c r="J74" s="2630"/>
      <c r="K74" s="2630"/>
      <c r="L74" s="2630"/>
      <c r="M74" s="2631"/>
      <c r="N74" s="2"/>
      <c r="P74" s="491">
        <f>$Q$12</f>
        <v>4</v>
      </c>
      <c r="Q74" s="499"/>
      <c r="R74" s="499"/>
      <c r="S74" s="499"/>
      <c r="U74" s="491">
        <f>$Q$12</f>
        <v>4</v>
      </c>
    </row>
    <row r="75" spans="1:27" ht="16.5" customHeight="1">
      <c r="A75" s="2"/>
      <c r="B75" s="137"/>
      <c r="C75" s="2"/>
      <c r="D75" s="26" t="str">
        <f>IF(D70=$Q$14,$R$13,IF(ROUNDDOWN(D70,0)=$Q$13,$S$13,$R$13))</f>
        <v>　レベル　5</v>
      </c>
      <c r="E75" s="473" t="s">
        <v>589</v>
      </c>
      <c r="F75" s="2632"/>
      <c r="G75" s="2632"/>
      <c r="H75" s="2632"/>
      <c r="I75" s="2632"/>
      <c r="J75" s="2632"/>
      <c r="K75" s="2632"/>
      <c r="L75" s="2632"/>
      <c r="M75" s="2633"/>
      <c r="N75" s="2"/>
      <c r="P75" s="491">
        <f>$Q$13</f>
        <v>5</v>
      </c>
      <c r="U75" s="491">
        <f>$Q$13</f>
        <v>5</v>
      </c>
    </row>
    <row r="76" spans="1:27" ht="16.5" customHeight="1">
      <c r="A76" s="2"/>
      <c r="B76"/>
      <c r="C76"/>
      <c r="D76"/>
      <c r="E76"/>
      <c r="F76"/>
      <c r="G76"/>
      <c r="H76"/>
      <c r="I76"/>
      <c r="J76"/>
      <c r="K76"/>
      <c r="L76"/>
      <c r="M76"/>
      <c r="N76" s="2"/>
      <c r="P76" s="491" t="s">
        <v>68</v>
      </c>
      <c r="Q76" s="284" t="s">
        <v>87</v>
      </c>
      <c r="T76" s="499"/>
      <c r="U76" s="491" t="str">
        <f>$Q$14</f>
        <v>対象外</v>
      </c>
    </row>
    <row r="77" spans="1:27" ht="16.5" customHeight="1">
      <c r="A77" s="2"/>
      <c r="B77" s="137"/>
      <c r="C77" s="27"/>
      <c r="D77" s="30"/>
      <c r="E77" s="127" t="s">
        <v>35</v>
      </c>
      <c r="F77" s="21"/>
      <c r="G77" s="21"/>
      <c r="H77" s="21"/>
      <c r="I77" s="21"/>
      <c r="J77" s="21"/>
      <c r="K77" s="21"/>
      <c r="L77" s="22"/>
      <c r="M77" s="22"/>
      <c r="N77" s="2"/>
      <c r="P77"/>
      <c r="Q77"/>
      <c r="R77"/>
      <c r="S77"/>
      <c r="T77"/>
      <c r="U77"/>
      <c r="V77"/>
      <c r="W77"/>
      <c r="X77"/>
      <c r="Y77"/>
      <c r="Z77"/>
      <c r="AA77"/>
    </row>
    <row r="78" spans="1:27" ht="16.2" thickBot="1">
      <c r="A78" s="2"/>
      <c r="B78" s="137"/>
      <c r="C78" s="27"/>
      <c r="E78" s="2557">
        <f>ROUND(IF(F84&lt;1,1,IF(F84&lt;2,3,IF(F84&lt;5,4,5))),0)</f>
        <v>4</v>
      </c>
      <c r="F78" s="424" t="s">
        <v>494</v>
      </c>
      <c r="G78" s="325"/>
      <c r="H78" s="425"/>
      <c r="I78" s="424" t="s">
        <v>80</v>
      </c>
      <c r="J78" s="325"/>
      <c r="K78" s="325"/>
      <c r="L78" s="425"/>
      <c r="M78" s="138" t="s">
        <v>375</v>
      </c>
      <c r="N78" s="2"/>
    </row>
    <row r="79" spans="1:27" ht="15.6">
      <c r="A79" s="2"/>
      <c r="B79" s="137"/>
      <c r="C79" s="27"/>
      <c r="E79" s="876"/>
      <c r="F79" s="2706" t="s">
        <v>2077</v>
      </c>
      <c r="G79" s="3038" t="s">
        <v>590</v>
      </c>
      <c r="H79" s="3039"/>
      <c r="I79" s="489" t="s">
        <v>2073</v>
      </c>
      <c r="J79" s="2707"/>
      <c r="K79" s="2707"/>
      <c r="L79" s="2708"/>
      <c r="M79" s="2709">
        <v>2</v>
      </c>
      <c r="P79" s="486">
        <v>0</v>
      </c>
      <c r="Q79" s="486">
        <f>M79</f>
        <v>2</v>
      </c>
    </row>
    <row r="80" spans="1:27" ht="15.6">
      <c r="A80" s="2"/>
      <c r="B80" s="137"/>
      <c r="C80" s="27"/>
      <c r="E80" s="877">
        <v>1</v>
      </c>
      <c r="F80" s="2958" t="s">
        <v>102</v>
      </c>
      <c r="G80" s="489" t="s">
        <v>591</v>
      </c>
      <c r="H80" s="490"/>
      <c r="I80" s="489" t="s">
        <v>2074</v>
      </c>
      <c r="J80" s="464"/>
      <c r="K80" s="464"/>
      <c r="L80" s="2710"/>
      <c r="M80" s="2711">
        <v>1</v>
      </c>
      <c r="P80" s="486">
        <v>0</v>
      </c>
      <c r="Q80" s="486">
        <f>M80</f>
        <v>1</v>
      </c>
    </row>
    <row r="81" spans="1:27" ht="15.6">
      <c r="A81" s="2"/>
      <c r="B81" s="137"/>
      <c r="C81" s="27"/>
      <c r="E81" s="1403"/>
      <c r="F81" s="2957"/>
      <c r="G81" s="439" t="s">
        <v>592</v>
      </c>
      <c r="H81" s="490"/>
      <c r="I81" s="489" t="s">
        <v>2075</v>
      </c>
      <c r="J81" s="464"/>
      <c r="K81" s="464"/>
      <c r="L81" s="2710"/>
      <c r="M81" s="2711">
        <v>1</v>
      </c>
      <c r="P81" s="486">
        <v>0</v>
      </c>
      <c r="Q81" s="486">
        <f>M81</f>
        <v>1</v>
      </c>
    </row>
    <row r="82" spans="1:27" ht="30.6" customHeight="1">
      <c r="A82" s="2"/>
      <c r="B82" s="137"/>
      <c r="C82" s="27"/>
      <c r="E82" s="3051">
        <v>1</v>
      </c>
      <c r="F82" s="2958" t="s">
        <v>104</v>
      </c>
      <c r="G82" s="489" t="s">
        <v>593</v>
      </c>
      <c r="H82" s="490"/>
      <c r="I82" s="2967" t="s">
        <v>2078</v>
      </c>
      <c r="J82" s="2971"/>
      <c r="K82" s="2971"/>
      <c r="L82" s="2972"/>
      <c r="M82" s="2711">
        <v>1</v>
      </c>
      <c r="P82" s="486">
        <v>0</v>
      </c>
      <c r="Q82" s="486">
        <f>M82</f>
        <v>1</v>
      </c>
    </row>
    <row r="83" spans="1:27" ht="34.950000000000003" customHeight="1" thickBot="1">
      <c r="A83" s="2"/>
      <c r="B83" s="137"/>
      <c r="C83" s="137"/>
      <c r="E83" s="3052"/>
      <c r="F83" s="2960"/>
      <c r="G83" s="2712" t="s">
        <v>594</v>
      </c>
      <c r="H83" s="2712"/>
      <c r="I83" s="2963" t="s">
        <v>722</v>
      </c>
      <c r="J83" s="2982"/>
      <c r="K83" s="2982"/>
      <c r="L83" s="2983"/>
      <c r="M83" s="2713">
        <v>1</v>
      </c>
    </row>
    <row r="84" spans="1:27" ht="16.5" customHeight="1">
      <c r="A84" s="2"/>
      <c r="B84" s="839"/>
      <c r="C84" s="27"/>
      <c r="E84" s="497" t="s">
        <v>250</v>
      </c>
      <c r="F84" s="468">
        <f>SUM(E79:E83)</f>
        <v>2</v>
      </c>
      <c r="G84" s="846"/>
      <c r="H84" s="846"/>
      <c r="I84" s="325"/>
      <c r="J84" s="468"/>
      <c r="K84" s="468"/>
      <c r="L84" s="325"/>
      <c r="M84" s="470"/>
    </row>
    <row r="85" spans="1:27" ht="16.5" hidden="1" customHeight="1" thickBot="1">
      <c r="A85" s="2"/>
      <c r="B85" s="839"/>
      <c r="C85" s="839"/>
      <c r="D85" s="839"/>
      <c r="E85" s="839"/>
      <c r="F85" s="839"/>
      <c r="G85" s="839"/>
      <c r="H85" s="839"/>
      <c r="I85" s="839"/>
      <c r="J85" s="839"/>
      <c r="K85" s="839"/>
      <c r="L85" s="839"/>
      <c r="M85" s="839"/>
      <c r="N85" s="839"/>
      <c r="O85" s="839"/>
      <c r="P85" s="839"/>
      <c r="Q85" s="839"/>
    </row>
    <row r="86" spans="1:27" ht="16.5" hidden="1" customHeight="1">
      <c r="A86" s="2"/>
      <c r="B86" s="137"/>
      <c r="C86" s="2"/>
      <c r="D86" s="25" t="str">
        <f>IF(D70=$Q$14,$R$9,IF(ROUNDDOWN(D70,0)=$Q$9,$S$9,$R$9))</f>
        <v>　レベル　1</v>
      </c>
      <c r="E86" s="438" t="s">
        <v>586</v>
      </c>
      <c r="F86" s="487"/>
      <c r="G86" s="487"/>
      <c r="H86" s="487"/>
      <c r="I86" s="487"/>
      <c r="J86" s="487"/>
      <c r="K86" s="487"/>
      <c r="L86" s="487"/>
      <c r="M86" s="488"/>
      <c r="N86" s="2"/>
      <c r="O86" s="2549" t="s">
        <v>1927</v>
      </c>
      <c r="P86" s="491">
        <f>$Q$9</f>
        <v>1</v>
      </c>
      <c r="U86" s="491">
        <f>$Q$9</f>
        <v>1</v>
      </c>
    </row>
    <row r="87" spans="1:27" ht="16.5" hidden="1" customHeight="1">
      <c r="A87" s="2"/>
      <c r="B87" s="137"/>
      <c r="C87" s="2"/>
      <c r="D87" s="28" t="str">
        <f>IF(D70=$Q$14,$R$10,IF(ROUNDDOWN(D70,0)=$Q$10,$S$10,$R$10))</f>
        <v>　レベル　2</v>
      </c>
      <c r="E87" s="439" t="s">
        <v>1646</v>
      </c>
      <c r="F87" s="489"/>
      <c r="G87" s="489"/>
      <c r="H87" s="489"/>
      <c r="I87" s="489"/>
      <c r="J87" s="489"/>
      <c r="K87" s="489"/>
      <c r="L87" s="489"/>
      <c r="M87" s="490"/>
      <c r="N87" s="2"/>
      <c r="P87" s="491" t="s">
        <v>55</v>
      </c>
      <c r="U87" s="491">
        <f>$Q$10</f>
        <v>2</v>
      </c>
    </row>
    <row r="88" spans="1:27" ht="16.5" hidden="1" customHeight="1">
      <c r="A88" s="2"/>
      <c r="B88" s="137"/>
      <c r="C88" s="2"/>
      <c r="D88" s="28" t="str">
        <f>IF(D70=$Q$14,$R$11,IF(ROUNDDOWN(D70,0)=$Q$11,$S$11,$R$11))</f>
        <v>　レベル　3</v>
      </c>
      <c r="E88" s="439" t="s">
        <v>587</v>
      </c>
      <c r="F88" s="489"/>
      <c r="G88" s="489"/>
      <c r="H88" s="489"/>
      <c r="I88" s="489"/>
      <c r="J88" s="489"/>
      <c r="K88" s="489"/>
      <c r="L88" s="489"/>
      <c r="M88" s="490"/>
      <c r="N88" s="2"/>
      <c r="P88" s="491">
        <f>$Q$11</f>
        <v>3</v>
      </c>
      <c r="U88" s="491">
        <f>$Q$11</f>
        <v>3</v>
      </c>
    </row>
    <row r="89" spans="1:27" ht="16.5" hidden="1" customHeight="1">
      <c r="A89" s="2"/>
      <c r="B89" s="137"/>
      <c r="C89" s="2"/>
      <c r="D89" s="28" t="str">
        <f>IF(D70=$Q$14,$R$12,IF(ROUNDDOWN(D70,0)=$Q$12,$S$12,$R$12))</f>
        <v>■レベル　4</v>
      </c>
      <c r="E89" s="451" t="s">
        <v>2076</v>
      </c>
      <c r="F89" s="2630"/>
      <c r="G89" s="2630"/>
      <c r="H89" s="2630"/>
      <c r="I89" s="2630"/>
      <c r="J89" s="2630"/>
      <c r="K89" s="2630"/>
      <c r="L89" s="2630"/>
      <c r="M89" s="2631"/>
      <c r="N89" s="2"/>
      <c r="P89" s="491">
        <f>$Q$12</f>
        <v>4</v>
      </c>
      <c r="Q89" s="499"/>
      <c r="R89" s="499"/>
      <c r="S89" s="499"/>
      <c r="U89" s="491">
        <f>$Q$12</f>
        <v>4</v>
      </c>
    </row>
    <row r="90" spans="1:27" ht="16.5" hidden="1" customHeight="1">
      <c r="A90" s="2"/>
      <c r="B90" s="137"/>
      <c r="C90" s="2"/>
      <c r="D90" s="26" t="str">
        <f>IF(D70=$Q$14,$R$13,IF(ROUNDDOWN(D70,0)=$Q$13,$S$13,$R$13))</f>
        <v>　レベル　5</v>
      </c>
      <c r="E90" s="473" t="s">
        <v>1646</v>
      </c>
      <c r="F90" s="2632"/>
      <c r="G90" s="2632"/>
      <c r="H90" s="2632"/>
      <c r="I90" s="2632"/>
      <c r="J90" s="2632"/>
      <c r="K90" s="2632"/>
      <c r="L90" s="2632"/>
      <c r="M90" s="2633"/>
      <c r="N90" s="2"/>
      <c r="P90" s="491">
        <f>$Q$13</f>
        <v>5</v>
      </c>
      <c r="U90" s="491">
        <f>$Q$13</f>
        <v>5</v>
      </c>
    </row>
    <row r="91" spans="1:27" ht="16.5" hidden="1" customHeight="1">
      <c r="A91" s="2"/>
      <c r="B91" s="137"/>
      <c r="C91" s="27"/>
      <c r="D91" s="30"/>
      <c r="E91" s="127" t="s">
        <v>35</v>
      </c>
      <c r="F91" s="21"/>
      <c r="G91" s="21"/>
      <c r="H91" s="21"/>
      <c r="I91" s="21"/>
      <c r="J91" s="21"/>
      <c r="K91" s="21"/>
      <c r="L91" s="22"/>
      <c r="M91" s="22"/>
      <c r="N91" s="2"/>
      <c r="P91" s="491" t="s">
        <v>55</v>
      </c>
      <c r="Q91" s="284" t="s">
        <v>87</v>
      </c>
      <c r="T91" s="499"/>
      <c r="U91" s="491" t="str">
        <f>$Q$14</f>
        <v>対象外</v>
      </c>
      <c r="V91"/>
      <c r="W91"/>
      <c r="X91"/>
      <c r="Y91"/>
      <c r="Z91"/>
      <c r="AA91"/>
    </row>
    <row r="92" spans="1:27" ht="16.2" hidden="1" thickBot="1">
      <c r="A92" s="2"/>
      <c r="B92" s="137"/>
      <c r="C92" s="27"/>
      <c r="E92" s="2503">
        <f>ROUND(IF(F96&gt;=2,4,IF(F96&gt;=1,3,1)),0)</f>
        <v>4</v>
      </c>
      <c r="F92" s="424" t="s">
        <v>494</v>
      </c>
      <c r="G92" s="325"/>
      <c r="H92" s="425"/>
      <c r="I92" s="424" t="s">
        <v>80</v>
      </c>
      <c r="J92" s="325"/>
      <c r="K92" s="325"/>
      <c r="L92" s="425"/>
      <c r="M92" s="138" t="s">
        <v>375</v>
      </c>
      <c r="N92" s="2"/>
    </row>
    <row r="93" spans="1:27" ht="15.6" hidden="1">
      <c r="A93" s="2"/>
      <c r="B93" s="137"/>
      <c r="C93" s="27"/>
      <c r="E93" s="876">
        <v>1</v>
      </c>
      <c r="F93" s="1096" t="s">
        <v>103</v>
      </c>
      <c r="G93" s="489" t="s">
        <v>591</v>
      </c>
      <c r="H93" s="490"/>
      <c r="I93" s="489" t="s">
        <v>2074</v>
      </c>
      <c r="J93" s="464"/>
      <c r="K93" s="464"/>
      <c r="L93" s="2710"/>
      <c r="M93" s="2711">
        <v>1</v>
      </c>
      <c r="P93" s="4">
        <v>0</v>
      </c>
      <c r="Q93" s="4">
        <f>M93</f>
        <v>1</v>
      </c>
    </row>
    <row r="94" spans="1:27" ht="33" hidden="1" customHeight="1">
      <c r="A94" s="2"/>
      <c r="B94" s="137"/>
      <c r="C94" s="27"/>
      <c r="E94" s="3051">
        <v>1</v>
      </c>
      <c r="F94" s="2958" t="s">
        <v>102</v>
      </c>
      <c r="G94" s="489" t="s">
        <v>593</v>
      </c>
      <c r="H94" s="490"/>
      <c r="I94" s="2967" t="s">
        <v>2078</v>
      </c>
      <c r="J94" s="2971"/>
      <c r="K94" s="2971"/>
      <c r="L94" s="2972"/>
      <c r="M94" s="2711">
        <v>1</v>
      </c>
      <c r="P94" s="4">
        <v>0</v>
      </c>
      <c r="Q94" s="4">
        <f>M94</f>
        <v>1</v>
      </c>
    </row>
    <row r="95" spans="1:27" ht="22.95" hidden="1" customHeight="1" thickBot="1">
      <c r="A95" s="2"/>
      <c r="B95" s="137"/>
      <c r="C95" s="137"/>
      <c r="E95" s="3052"/>
      <c r="F95" s="2960"/>
      <c r="G95" s="2712" t="s">
        <v>594</v>
      </c>
      <c r="H95" s="2712"/>
      <c r="I95" s="2963" t="s">
        <v>722</v>
      </c>
      <c r="J95" s="2982"/>
      <c r="K95" s="2982"/>
      <c r="L95" s="2983"/>
      <c r="M95" s="2713">
        <v>1</v>
      </c>
    </row>
    <row r="96" spans="1:27" ht="16.5" hidden="1" customHeight="1">
      <c r="A96" s="2"/>
      <c r="B96" s="839"/>
      <c r="C96" s="27"/>
      <c r="E96" s="497" t="s">
        <v>483</v>
      </c>
      <c r="F96" s="468">
        <f>SUM(E93:E95)</f>
        <v>2</v>
      </c>
      <c r="G96" s="846"/>
      <c r="H96" s="846"/>
      <c r="I96" s="325"/>
      <c r="J96" s="468"/>
      <c r="K96" s="468"/>
      <c r="L96" s="325"/>
      <c r="M96" s="470"/>
    </row>
    <row r="97" spans="1:25" s="29" customFormat="1" ht="8.25" customHeight="1">
      <c r="A97" s="19"/>
      <c r="B97" s="137"/>
      <c r="C97" s="504"/>
      <c r="D97" s="270"/>
      <c r="E97" s="270"/>
      <c r="F97" s="2"/>
      <c r="G97" s="2"/>
      <c r="H97" s="2"/>
      <c r="I97" s="2"/>
      <c r="J97" s="2"/>
      <c r="K97" s="2"/>
      <c r="L97" s="2"/>
      <c r="M97" s="2"/>
      <c r="N97" s="22"/>
      <c r="P97" s="4"/>
      <c r="R97" s="4"/>
      <c r="S97" s="4"/>
      <c r="T97" s="113"/>
    </row>
    <row r="98" spans="1:25" s="29" customFormat="1" ht="21" customHeight="1">
      <c r="A98" s="19"/>
      <c r="B98" s="137"/>
      <c r="C98" s="504"/>
      <c r="E98" s="646" t="s">
        <v>3</v>
      </c>
      <c r="F98" s="647"/>
      <c r="G98" s="2441"/>
      <c r="H98" s="2442"/>
      <c r="I98" s="990"/>
      <c r="J98" s="990"/>
      <c r="K98" s="990"/>
      <c r="L98" s="990"/>
      <c r="M98" s="991"/>
      <c r="N98" s="22"/>
      <c r="P98" s="511"/>
      <c r="Q98" s="284"/>
      <c r="R98" s="4"/>
      <c r="S98" s="4"/>
      <c r="T98" s="113"/>
      <c r="U98" s="511"/>
      <c r="V98" s="113"/>
      <c r="W98" s="113"/>
      <c r="X98" s="113"/>
      <c r="Y98" s="113"/>
    </row>
    <row r="99" spans="1:25" ht="11.25" customHeight="1">
      <c r="A99" s="2"/>
      <c r="B99" s="137"/>
      <c r="C99" s="27"/>
      <c r="D99" s="30"/>
      <c r="E99" s="30"/>
      <c r="F99" s="30"/>
      <c r="G99" s="30"/>
      <c r="H99" s="30"/>
      <c r="I99" s="30"/>
      <c r="J99" s="128"/>
      <c r="K99" s="128"/>
      <c r="L99" s="128"/>
      <c r="M99" s="128"/>
      <c r="N99" s="2"/>
      <c r="Q99" s="15"/>
      <c r="R99" s="15"/>
      <c r="S99" s="15"/>
    </row>
    <row r="100" spans="1:25" s="15" customFormat="1" ht="14.25" customHeight="1">
      <c r="A100" s="13"/>
      <c r="B100" s="268">
        <v>2</v>
      </c>
      <c r="C100" s="23" t="s">
        <v>477</v>
      </c>
      <c r="D100" s="22"/>
      <c r="E100" s="22"/>
      <c r="F100" s="272"/>
      <c r="G100" s="22"/>
      <c r="H100" s="22"/>
      <c r="I100" s="22"/>
      <c r="J100" s="22"/>
      <c r="K100" s="22"/>
      <c r="L100" s="22"/>
      <c r="M100" s="22"/>
      <c r="N100" s="13"/>
      <c r="Q100" s="4"/>
      <c r="R100" s="4"/>
      <c r="S100" s="4"/>
    </row>
    <row r="101" spans="1:25" s="15" customFormat="1" ht="14.25" customHeight="1">
      <c r="A101" s="13"/>
      <c r="B101" s="513">
        <v>2.1</v>
      </c>
      <c r="C101" s="23" t="s">
        <v>478</v>
      </c>
      <c r="D101" s="22"/>
      <c r="E101" s="271"/>
      <c r="F101" s="272"/>
      <c r="G101" s="22"/>
      <c r="H101" s="22"/>
      <c r="I101" s="22"/>
      <c r="J101" s="271"/>
      <c r="K101" s="22"/>
      <c r="L101" s="22"/>
      <c r="M101" s="22"/>
      <c r="N101" s="13"/>
      <c r="O101" s="284"/>
      <c r="P101" s="284"/>
      <c r="Q101" s="284"/>
      <c r="R101" s="284"/>
      <c r="S101" s="284"/>
      <c r="T101" s="284"/>
      <c r="U101" s="284"/>
      <c r="V101" s="284"/>
      <c r="W101" s="284"/>
      <c r="X101" s="284"/>
    </row>
    <row r="102" spans="1:25" ht="16.5" customHeight="1" thickBot="1">
      <c r="A102" s="2"/>
      <c r="B102" s="24"/>
      <c r="C102" s="24"/>
      <c r="D102" s="114"/>
      <c r="E102" s="13"/>
      <c r="F102" s="13"/>
      <c r="G102" s="13"/>
      <c r="H102" s="13"/>
      <c r="I102" s="22"/>
      <c r="J102" s="15"/>
      <c r="K102" s="22"/>
      <c r="L102" s="148" t="s">
        <v>2</v>
      </c>
      <c r="M102" s="145">
        <f>重み!M74</f>
        <v>0.75</v>
      </c>
      <c r="N102" s="2"/>
      <c r="O102" s="29" t="str">
        <f>C101</f>
        <v>節水型設備</v>
      </c>
      <c r="P102" s="29">
        <f>D101</f>
        <v>0</v>
      </c>
      <c r="Q102" s="284">
        <f t="shared" ref="Q102:U102" si="6">E102</f>
        <v>0</v>
      </c>
      <c r="R102" s="284">
        <f t="shared" si="6"/>
        <v>0</v>
      </c>
      <c r="S102" s="284">
        <f t="shared" si="6"/>
        <v>0</v>
      </c>
      <c r="T102" s="284">
        <f t="shared" si="6"/>
        <v>0</v>
      </c>
      <c r="U102" s="284">
        <f t="shared" si="6"/>
        <v>0</v>
      </c>
      <c r="V102" s="284">
        <f>J102</f>
        <v>0</v>
      </c>
      <c r="W102" s="284">
        <f>K102</f>
        <v>0</v>
      </c>
      <c r="X102" s="284" t="str">
        <f>L102</f>
        <v>重み係数＝</v>
      </c>
      <c r="Y102" s="284">
        <f>M102</f>
        <v>0.75</v>
      </c>
    </row>
    <row r="103" spans="1:25" ht="16.5" customHeight="1" thickBot="1">
      <c r="A103" s="2"/>
      <c r="B103" s="24"/>
      <c r="C103" s="24"/>
      <c r="D103" s="865">
        <f>ROUND(IF(F114=0,1,IF(F114&lt;=1,3,IF(F114&lt;=2,4,5))),0)</f>
        <v>4</v>
      </c>
      <c r="E103" s="2934" t="s">
        <v>415</v>
      </c>
      <c r="F103" s="2935"/>
      <c r="G103" s="2935"/>
      <c r="H103" s="2935"/>
      <c r="I103" s="2935"/>
      <c r="J103" s="2935"/>
      <c r="K103" s="2935"/>
      <c r="L103" s="2935"/>
      <c r="M103" s="2936"/>
      <c r="N103" s="2"/>
    </row>
    <row r="104" spans="1:25" ht="16.5" customHeight="1">
      <c r="A104" s="2"/>
      <c r="B104" s="24"/>
      <c r="C104" s="24"/>
      <c r="D104" s="25" t="str">
        <f>IF(D103=$Q$14,$R$9,IF(ROUNDDOWN(D103,0)=$Q$9,$S$9,$R$9))</f>
        <v>　レベル　1</v>
      </c>
      <c r="E104" s="438" t="s">
        <v>951</v>
      </c>
      <c r="F104" s="487"/>
      <c r="G104" s="487"/>
      <c r="H104" s="487"/>
      <c r="I104" s="487"/>
      <c r="J104" s="487"/>
      <c r="K104" s="487"/>
      <c r="L104" s="487"/>
      <c r="M104" s="488"/>
      <c r="N104" s="2"/>
      <c r="P104" s="491">
        <f>$Q$9</f>
        <v>1</v>
      </c>
      <c r="U104" s="491">
        <f>$Q$9</f>
        <v>1</v>
      </c>
    </row>
    <row r="105" spans="1:25" ht="16.5" customHeight="1">
      <c r="A105" s="2"/>
      <c r="B105" s="24"/>
      <c r="C105" s="24"/>
      <c r="D105" s="28" t="str">
        <f>IF(D103=$Q$14,$R$10,IF(ROUNDDOWN(D103,0)=$Q$10,$S$10,$R$10))</f>
        <v>　レベル　2</v>
      </c>
      <c r="E105" s="439" t="s">
        <v>409</v>
      </c>
      <c r="F105" s="489"/>
      <c r="G105" s="489"/>
      <c r="H105" s="489"/>
      <c r="I105" s="489"/>
      <c r="J105" s="489"/>
      <c r="K105" s="489"/>
      <c r="L105" s="489"/>
      <c r="M105" s="490"/>
      <c r="N105" s="2"/>
      <c r="P105" s="491" t="s">
        <v>55</v>
      </c>
      <c r="U105" s="491">
        <f>$Q$10</f>
        <v>2</v>
      </c>
    </row>
    <row r="106" spans="1:25" ht="16.5" customHeight="1">
      <c r="A106" s="2"/>
      <c r="B106" s="24"/>
      <c r="C106" s="24"/>
      <c r="D106" s="28" t="str">
        <f>IF(D103=$Q$14,$R$11,IF(ROUNDDOWN(D103,0)=$Q$11,$S$11,$R$11))</f>
        <v>　レベル　3</v>
      </c>
      <c r="E106" s="439" t="s">
        <v>952</v>
      </c>
      <c r="F106" s="489"/>
      <c r="G106" s="489"/>
      <c r="H106" s="489"/>
      <c r="I106" s="489"/>
      <c r="J106" s="489"/>
      <c r="K106" s="489"/>
      <c r="L106" s="489"/>
      <c r="M106" s="490"/>
      <c r="N106" s="2"/>
      <c r="P106" s="491">
        <f>$Q$11</f>
        <v>3</v>
      </c>
      <c r="U106" s="491">
        <f>$Q$11</f>
        <v>3</v>
      </c>
    </row>
    <row r="107" spans="1:25" ht="16.5" customHeight="1">
      <c r="A107" s="2"/>
      <c r="B107" s="24"/>
      <c r="C107" s="24"/>
      <c r="D107" s="28" t="str">
        <f>IF(D103=$Q$14,$R$12,IF(ROUNDDOWN(D103,0)=$Q$12,$S$12,$R$12))</f>
        <v>■レベル　4</v>
      </c>
      <c r="E107" s="451" t="s">
        <v>953</v>
      </c>
      <c r="F107" s="2630"/>
      <c r="G107" s="2630"/>
      <c r="H107" s="2630"/>
      <c r="I107" s="2630"/>
      <c r="J107" s="2630"/>
      <c r="K107" s="2630"/>
      <c r="L107" s="2630"/>
      <c r="M107" s="2631"/>
      <c r="N107" s="2"/>
      <c r="P107" s="491">
        <f>$Q$12</f>
        <v>4</v>
      </c>
      <c r="Q107" s="499"/>
      <c r="R107" s="499"/>
      <c r="S107" s="499"/>
      <c r="U107" s="491">
        <f>$Q$12</f>
        <v>4</v>
      </c>
    </row>
    <row r="108" spans="1:25" ht="16.5" customHeight="1">
      <c r="A108" s="2"/>
      <c r="B108" s="24"/>
      <c r="C108" s="24"/>
      <c r="D108" s="26" t="str">
        <f>IF(D103=$Q$14,$R$13,IF(ROUNDDOWN(D103,0)=$Q$13,$S$13,$R$13))</f>
        <v>　レベル　5</v>
      </c>
      <c r="E108" s="473" t="s">
        <v>954</v>
      </c>
      <c r="F108" s="2632"/>
      <c r="G108" s="2632"/>
      <c r="H108" s="2632"/>
      <c r="I108" s="2632"/>
      <c r="J108" s="2632"/>
      <c r="K108" s="2632"/>
      <c r="L108" s="2632"/>
      <c r="M108" s="2633"/>
      <c r="N108" s="2"/>
      <c r="P108" s="491">
        <f>$Q$13</f>
        <v>5</v>
      </c>
      <c r="Q108" s="29"/>
      <c r="U108" s="491">
        <f>$Q$13</f>
        <v>5</v>
      </c>
    </row>
    <row r="109" spans="1:25" ht="16.5" customHeight="1">
      <c r="A109" s="2"/>
      <c r="B109" s="24"/>
      <c r="C109" s="19"/>
      <c r="D109" s="129"/>
      <c r="E109" s="127" t="s">
        <v>35</v>
      </c>
      <c r="F109" s="19"/>
      <c r="G109" s="126"/>
      <c r="H109" s="32"/>
      <c r="I109" s="32"/>
      <c r="J109" s="19"/>
      <c r="K109" s="19"/>
      <c r="L109" s="19"/>
      <c r="M109" s="19"/>
      <c r="N109" s="19"/>
      <c r="O109" s="29"/>
      <c r="P109" s="491" t="s">
        <v>68</v>
      </c>
      <c r="Q109" s="284" t="s">
        <v>87</v>
      </c>
      <c r="T109" s="499"/>
      <c r="U109" s="491" t="str">
        <f>$Q$14</f>
        <v>対象外</v>
      </c>
    </row>
    <row r="110" spans="1:25" ht="16.5" customHeight="1" thickBot="1">
      <c r="A110" s="2"/>
      <c r="B110" s="134"/>
      <c r="C110" s="134"/>
      <c r="D110" s="134"/>
      <c r="E110" s="119" t="s">
        <v>351</v>
      </c>
      <c r="F110" s="428" t="s">
        <v>78</v>
      </c>
      <c r="G110" s="3003" t="s">
        <v>723</v>
      </c>
      <c r="H110" s="3004"/>
      <c r="I110" s="3004"/>
      <c r="J110" s="3004"/>
      <c r="K110" s="3004"/>
      <c r="L110" s="3004"/>
      <c r="M110" s="3005"/>
      <c r="N110" s="19"/>
      <c r="O110" s="29"/>
      <c r="P110" s="29"/>
      <c r="Q110" s="29"/>
    </row>
    <row r="111" spans="1:25" ht="16.5" customHeight="1">
      <c r="A111" s="2"/>
      <c r="B111" s="134"/>
      <c r="C111" s="2"/>
      <c r="D111" s="134"/>
      <c r="E111" s="987" t="s">
        <v>687</v>
      </c>
      <c r="F111" s="429">
        <v>1</v>
      </c>
      <c r="G111" s="457" t="s">
        <v>595</v>
      </c>
      <c r="H111" s="458"/>
      <c r="I111" s="458"/>
      <c r="J111" s="458"/>
      <c r="K111" s="458"/>
      <c r="L111" s="458"/>
      <c r="M111" s="446"/>
      <c r="N111" s="19"/>
      <c r="O111" s="29"/>
      <c r="P111" s="29"/>
      <c r="Q111" s="29"/>
    </row>
    <row r="112" spans="1:25" ht="16.5" customHeight="1">
      <c r="A112" s="2"/>
      <c r="B112" s="134"/>
      <c r="C112" s="2"/>
      <c r="D112" s="134"/>
      <c r="E112" s="988" t="s">
        <v>687</v>
      </c>
      <c r="F112" s="464">
        <v>2</v>
      </c>
      <c r="G112" s="451" t="s">
        <v>596</v>
      </c>
      <c r="H112" s="450"/>
      <c r="I112" s="450"/>
      <c r="J112" s="450"/>
      <c r="K112" s="450"/>
      <c r="L112" s="450"/>
      <c r="M112" s="454"/>
      <c r="N112" s="19"/>
      <c r="O112" s="29"/>
      <c r="P112" s="29"/>
      <c r="Q112" s="29"/>
    </row>
    <row r="113" spans="1:25" ht="16.5" customHeight="1" thickBot="1">
      <c r="A113" s="2"/>
      <c r="B113" s="134"/>
      <c r="C113" s="2"/>
      <c r="D113" s="134"/>
      <c r="E113" s="989"/>
      <c r="F113" s="466">
        <v>3</v>
      </c>
      <c r="G113" s="460" t="s">
        <v>597</v>
      </c>
      <c r="H113" s="444"/>
      <c r="I113" s="444"/>
      <c r="J113" s="444"/>
      <c r="K113" s="444"/>
      <c r="L113" s="444"/>
      <c r="M113" s="443"/>
      <c r="N113" s="19"/>
      <c r="O113" s="29"/>
      <c r="P113" s="29"/>
      <c r="Q113" s="29"/>
    </row>
    <row r="114" spans="1:25" ht="16.5" customHeight="1">
      <c r="A114" s="2"/>
      <c r="B114" s="847"/>
      <c r="C114" s="2"/>
      <c r="D114" s="847"/>
      <c r="E114" s="497" t="s">
        <v>250</v>
      </c>
      <c r="F114" s="838">
        <f>COUNTIF(E111:E113,"○")</f>
        <v>2</v>
      </c>
      <c r="G114" s="848"/>
      <c r="H114" s="848"/>
      <c r="I114" s="118"/>
      <c r="J114" s="118"/>
      <c r="K114" s="118"/>
      <c r="L114" s="118"/>
      <c r="M114" s="425"/>
      <c r="N114" s="19"/>
      <c r="O114" s="29"/>
      <c r="P114" s="29"/>
    </row>
    <row r="115" spans="1:25" s="29" customFormat="1" ht="8.25" customHeight="1">
      <c r="A115" s="19"/>
      <c r="B115" s="137"/>
      <c r="C115" s="504"/>
      <c r="D115" s="270"/>
      <c r="E115" s="270"/>
      <c r="F115" s="2"/>
      <c r="G115" s="2"/>
      <c r="H115" s="2"/>
      <c r="I115" s="2"/>
      <c r="J115" s="2"/>
      <c r="K115" s="2"/>
      <c r="L115" s="2"/>
      <c r="M115" s="2"/>
      <c r="N115" s="22"/>
      <c r="R115" s="4"/>
      <c r="S115" s="4"/>
      <c r="T115" s="113"/>
    </row>
    <row r="116" spans="1:25" s="29" customFormat="1" ht="21" customHeight="1">
      <c r="A116" s="19"/>
      <c r="B116" s="137"/>
      <c r="C116" s="504"/>
      <c r="E116" s="646" t="s">
        <v>3</v>
      </c>
      <c r="F116" s="647"/>
      <c r="G116" s="2441"/>
      <c r="H116" s="2442"/>
      <c r="I116" s="990"/>
      <c r="J116" s="990"/>
      <c r="K116" s="990"/>
      <c r="L116" s="990"/>
      <c r="M116" s="991"/>
      <c r="N116" s="22"/>
      <c r="P116" s="511"/>
      <c r="Q116" s="284"/>
      <c r="R116" s="4"/>
      <c r="S116" s="4"/>
      <c r="T116" s="113"/>
      <c r="U116" s="511"/>
      <c r="V116" s="113"/>
      <c r="W116" s="113"/>
      <c r="X116" s="113"/>
      <c r="Y116" s="113"/>
    </row>
    <row r="117" spans="1:25" ht="14.25" customHeight="1">
      <c r="B117" s="134"/>
      <c r="C117" s="134"/>
      <c r="D117" s="134"/>
      <c r="E117" s="134"/>
      <c r="F117" s="134"/>
      <c r="G117" s="134"/>
      <c r="H117" s="134"/>
      <c r="I117" s="134"/>
      <c r="J117" s="134"/>
      <c r="K117" s="134"/>
      <c r="L117" s="19"/>
      <c r="M117" s="19"/>
      <c r="N117" s="19"/>
      <c r="O117" s="29"/>
      <c r="P117" s="29"/>
    </row>
    <row r="118" spans="1:25" s="15" customFormat="1" ht="14.25" customHeight="1">
      <c r="A118" s="13"/>
      <c r="B118" s="513">
        <v>2.2000000000000002</v>
      </c>
      <c r="C118" s="23" t="s">
        <v>532</v>
      </c>
      <c r="D118" s="22"/>
      <c r="E118" s="271"/>
      <c r="F118" s="22"/>
      <c r="G118" s="22"/>
      <c r="H118" s="22"/>
      <c r="I118" s="22"/>
      <c r="J118" s="271"/>
      <c r="K118" s="22"/>
      <c r="L118" s="22"/>
      <c r="M118" s="22"/>
      <c r="N118" s="13"/>
      <c r="O118" s="29"/>
      <c r="Q118" s="4"/>
      <c r="R118" s="4"/>
      <c r="S118" s="4"/>
    </row>
    <row r="119" spans="1:25" ht="16.5" customHeight="1" thickBot="1">
      <c r="A119" s="2"/>
      <c r="B119" s="24"/>
      <c r="C119" s="24"/>
      <c r="D119" s="114"/>
      <c r="E119" s="13"/>
      <c r="F119" s="13"/>
      <c r="G119" s="13"/>
      <c r="H119" s="13"/>
      <c r="I119" s="22"/>
      <c r="J119" s="15"/>
      <c r="K119" s="22"/>
      <c r="L119" s="148" t="s">
        <v>2</v>
      </c>
      <c r="M119" s="145">
        <f>重み!M75</f>
        <v>0.25</v>
      </c>
      <c r="N119" s="2"/>
      <c r="O119" s="29" t="str">
        <f>C118</f>
        <v>雨水の利用</v>
      </c>
      <c r="P119" s="29">
        <f>D118</f>
        <v>0</v>
      </c>
      <c r="Q119" s="284">
        <f t="shared" ref="Q119:U119" si="7">E119</f>
        <v>0</v>
      </c>
      <c r="R119" s="284">
        <f t="shared" si="7"/>
        <v>0</v>
      </c>
      <c r="S119" s="284">
        <f t="shared" si="7"/>
        <v>0</v>
      </c>
      <c r="T119" s="284">
        <f t="shared" si="7"/>
        <v>0</v>
      </c>
      <c r="U119" s="284">
        <f t="shared" si="7"/>
        <v>0</v>
      </c>
      <c r="V119" s="284">
        <f>J119</f>
        <v>0</v>
      </c>
      <c r="W119" s="284">
        <f>K119</f>
        <v>0</v>
      </c>
      <c r="X119" s="284" t="str">
        <f>L119</f>
        <v>重み係数＝</v>
      </c>
      <c r="Y119" s="284">
        <f>M119</f>
        <v>0.25</v>
      </c>
    </row>
    <row r="120" spans="1:25" ht="16.5" customHeight="1" thickBot="1">
      <c r="A120" s="2"/>
      <c r="B120" s="24"/>
      <c r="C120" s="24"/>
      <c r="D120" s="865">
        <v>3</v>
      </c>
      <c r="E120" s="2934" t="s">
        <v>415</v>
      </c>
      <c r="F120" s="2935"/>
      <c r="G120" s="2935"/>
      <c r="H120" s="2935"/>
      <c r="I120" s="2935"/>
      <c r="J120" s="2935"/>
      <c r="K120" s="2935"/>
      <c r="L120" s="2935"/>
      <c r="M120" s="2936"/>
      <c r="N120" s="2"/>
      <c r="O120" s="29"/>
    </row>
    <row r="121" spans="1:25" ht="16.5" customHeight="1">
      <c r="A121" s="2"/>
      <c r="B121" s="24"/>
      <c r="C121" s="24"/>
      <c r="D121" s="25" t="str">
        <f>IF(D120=$Q$14,$R$9,IF(ROUNDDOWN(D120,0)=$Q$9,$S$9,$R$9))</f>
        <v>　レベル　1</v>
      </c>
      <c r="E121" s="438" t="s">
        <v>409</v>
      </c>
      <c r="F121" s="487"/>
      <c r="G121" s="487"/>
      <c r="H121" s="487"/>
      <c r="I121" s="487"/>
      <c r="J121" s="487"/>
      <c r="K121" s="487"/>
      <c r="L121" s="487"/>
      <c r="M121" s="488"/>
      <c r="N121" s="2"/>
      <c r="O121" s="29"/>
      <c r="P121" s="491" t="s">
        <v>68</v>
      </c>
      <c r="U121" s="491">
        <f>$Q$9</f>
        <v>1</v>
      </c>
    </row>
    <row r="122" spans="1:25" ht="16.5" customHeight="1">
      <c r="A122" s="2"/>
      <c r="B122" s="24"/>
      <c r="C122" s="24"/>
      <c r="D122" s="28" t="str">
        <f>IF(D120=$Q$14,$R$10,IF(ROUNDDOWN(D120,0)=$Q$10,$S$10,$R$10))</f>
        <v>　レベル　2</v>
      </c>
      <c r="E122" s="439" t="s">
        <v>409</v>
      </c>
      <c r="F122" s="489"/>
      <c r="G122" s="489"/>
      <c r="H122" s="489"/>
      <c r="I122" s="489"/>
      <c r="J122" s="489"/>
      <c r="K122" s="489"/>
      <c r="L122" s="489"/>
      <c r="M122" s="490"/>
      <c r="N122" s="2"/>
      <c r="O122" s="29"/>
      <c r="P122" s="491" t="s">
        <v>68</v>
      </c>
      <c r="U122" s="491">
        <f>$Q$10</f>
        <v>2</v>
      </c>
    </row>
    <row r="123" spans="1:25" ht="16.5" customHeight="1">
      <c r="A123" s="2"/>
      <c r="B123" s="24"/>
      <c r="C123" s="24"/>
      <c r="D123" s="28" t="str">
        <f>IF(D120=$Q$14,$R$11,IF(ROUNDDOWN(D120,0)=$Q$11,$S$11,$R$11))</f>
        <v>■レベル　3</v>
      </c>
      <c r="E123" s="439" t="s">
        <v>11</v>
      </c>
      <c r="F123" s="489"/>
      <c r="G123" s="489"/>
      <c r="H123" s="489"/>
      <c r="I123" s="489"/>
      <c r="J123" s="489"/>
      <c r="K123" s="489"/>
      <c r="L123" s="489"/>
      <c r="M123" s="490"/>
      <c r="N123" s="2"/>
      <c r="O123" s="29"/>
      <c r="P123" s="491">
        <f>$Q$11</f>
        <v>3</v>
      </c>
      <c r="U123" s="491">
        <f>$Q$11</f>
        <v>3</v>
      </c>
    </row>
    <row r="124" spans="1:25" ht="16.5" customHeight="1">
      <c r="A124" s="2"/>
      <c r="B124" s="24"/>
      <c r="C124" s="24"/>
      <c r="D124" s="28" t="str">
        <f>IF(D120=$Q$14,$R$12,IF(ROUNDDOWN(D120,0)=$Q$12,$S$12,$R$12))</f>
        <v>　レベル　4</v>
      </c>
      <c r="E124" s="451" t="s">
        <v>724</v>
      </c>
      <c r="F124" s="2630"/>
      <c r="G124" s="2630"/>
      <c r="H124" s="2630"/>
      <c r="I124" s="2630"/>
      <c r="J124" s="2630"/>
      <c r="K124" s="2630"/>
      <c r="L124" s="2630"/>
      <c r="M124" s="2631"/>
      <c r="N124" s="2"/>
      <c r="O124" s="29"/>
      <c r="P124" s="491">
        <f>$Q$12</f>
        <v>4</v>
      </c>
      <c r="U124" s="491">
        <f>$Q$12</f>
        <v>4</v>
      </c>
    </row>
    <row r="125" spans="1:25" ht="16.5" customHeight="1">
      <c r="A125" s="2"/>
      <c r="B125" s="24"/>
      <c r="C125" s="24"/>
      <c r="D125" s="26" t="str">
        <f>IF(D120=$Q$14,$R$13,IF(ROUNDDOWN(D120,0)=$Q$13,$S$13,$R$13))</f>
        <v>　レベル　5</v>
      </c>
      <c r="E125" s="473" t="s">
        <v>598</v>
      </c>
      <c r="F125" s="2632"/>
      <c r="G125" s="2632"/>
      <c r="H125" s="2632"/>
      <c r="I125" s="2632"/>
      <c r="J125" s="2632"/>
      <c r="K125" s="2632"/>
      <c r="L125" s="2632"/>
      <c r="M125" s="2633"/>
      <c r="N125" s="2"/>
      <c r="O125" s="29"/>
      <c r="P125" s="491">
        <f>$Q$13</f>
        <v>5</v>
      </c>
      <c r="Q125" s="15"/>
      <c r="R125" s="15"/>
      <c r="S125" s="15"/>
      <c r="U125" s="491">
        <f>$Q$13</f>
        <v>5</v>
      </c>
    </row>
    <row r="126" spans="1:25" s="29" customFormat="1" ht="8.25" customHeight="1">
      <c r="A126" s="19"/>
      <c r="B126" s="137"/>
      <c r="C126" s="504"/>
      <c r="D126" s="270"/>
      <c r="E126" s="270"/>
      <c r="F126" s="2"/>
      <c r="G126" s="2"/>
      <c r="H126" s="2"/>
      <c r="I126" s="2"/>
      <c r="J126" s="2"/>
      <c r="K126" s="2"/>
      <c r="L126" s="2"/>
      <c r="M126" s="2"/>
      <c r="N126" s="22"/>
      <c r="P126" s="491" t="s">
        <v>68</v>
      </c>
      <c r="Q126" s="284" t="s">
        <v>87</v>
      </c>
      <c r="R126" s="4"/>
      <c r="S126" s="4"/>
      <c r="T126" s="113"/>
    </row>
    <row r="127" spans="1:25" s="29" customFormat="1" ht="21" customHeight="1">
      <c r="A127" s="19"/>
      <c r="B127" s="137"/>
      <c r="C127" s="504"/>
      <c r="E127" s="646" t="s">
        <v>3</v>
      </c>
      <c r="F127" s="647"/>
      <c r="G127" s="2441"/>
      <c r="H127" s="2442"/>
      <c r="I127" s="990"/>
      <c r="J127" s="990"/>
      <c r="K127" s="990"/>
      <c r="L127" s="990"/>
      <c r="M127" s="991"/>
      <c r="N127" s="22"/>
      <c r="P127" s="511"/>
      <c r="Q127" s="284"/>
      <c r="R127" s="4"/>
      <c r="S127" s="4"/>
      <c r="T127" s="113"/>
      <c r="U127" s="511"/>
      <c r="V127" s="113"/>
      <c r="W127" s="113"/>
      <c r="X127" s="113"/>
      <c r="Y127" s="113"/>
    </row>
    <row r="128" spans="1:25" ht="14.25" customHeight="1">
      <c r="A128" s="2"/>
      <c r="B128" s="134"/>
      <c r="C128" s="134"/>
      <c r="D128" s="134"/>
      <c r="E128" s="134"/>
      <c r="F128" s="134"/>
      <c r="G128" s="134"/>
      <c r="H128" s="134"/>
      <c r="I128" s="134"/>
      <c r="J128" s="134"/>
      <c r="K128" s="134"/>
      <c r="L128" s="134"/>
      <c r="M128" s="134"/>
      <c r="N128" s="134"/>
      <c r="O128" s="29"/>
      <c r="P128" s="511"/>
      <c r="Q128" s="15"/>
      <c r="R128" s="15"/>
      <c r="S128" s="15"/>
      <c r="U128" s="511"/>
    </row>
    <row r="129" spans="1:25" s="15" customFormat="1" ht="14.25" customHeight="1">
      <c r="A129" s="13"/>
      <c r="B129" s="268">
        <v>3</v>
      </c>
      <c r="C129" s="23" t="s">
        <v>534</v>
      </c>
      <c r="D129" s="22"/>
      <c r="E129" s="22"/>
      <c r="F129" s="22"/>
      <c r="G129" s="22"/>
      <c r="H129" s="22"/>
      <c r="I129" s="22"/>
      <c r="J129" s="22"/>
      <c r="K129" s="22"/>
      <c r="L129" s="22"/>
      <c r="M129" s="22"/>
      <c r="N129" s="13"/>
      <c r="Q129" s="4"/>
      <c r="R129" s="4"/>
      <c r="S129" s="4"/>
    </row>
    <row r="130" spans="1:25" s="15" customFormat="1" ht="14.25" customHeight="1">
      <c r="A130" s="13"/>
      <c r="B130" s="513">
        <v>3.1</v>
      </c>
      <c r="C130" s="23" t="s">
        <v>479</v>
      </c>
      <c r="D130" s="22"/>
      <c r="E130" s="271"/>
      <c r="F130" s="22"/>
      <c r="G130" s="22"/>
      <c r="H130" s="22"/>
      <c r="I130" s="22"/>
      <c r="J130" s="271"/>
      <c r="K130" s="22"/>
      <c r="L130" s="22"/>
      <c r="M130" s="22"/>
      <c r="N130" s="13"/>
      <c r="Q130" s="4"/>
      <c r="R130" s="4"/>
      <c r="S130" s="4"/>
    </row>
    <row r="131" spans="1:25" ht="16.5" customHeight="1" thickBot="1">
      <c r="A131" s="2"/>
      <c r="B131" s="24"/>
      <c r="C131" s="24"/>
      <c r="D131" s="114"/>
      <c r="E131" s="13"/>
      <c r="F131" s="13"/>
      <c r="G131" s="13"/>
      <c r="H131" s="13"/>
      <c r="I131" s="22"/>
      <c r="J131" s="15"/>
      <c r="K131" s="22"/>
      <c r="L131" s="148" t="s">
        <v>2</v>
      </c>
      <c r="M131" s="145">
        <f>重み!M77</f>
        <v>0.5</v>
      </c>
      <c r="N131" s="2"/>
      <c r="O131" s="29" t="str">
        <f>C130</f>
        <v>住まい方の提示</v>
      </c>
      <c r="P131" s="29">
        <f>D130</f>
        <v>0</v>
      </c>
      <c r="Q131" s="284">
        <f t="shared" ref="Q131:U131" si="8">E131</f>
        <v>0</v>
      </c>
      <c r="R131" s="284">
        <f t="shared" si="8"/>
        <v>0</v>
      </c>
      <c r="S131" s="284">
        <f t="shared" si="8"/>
        <v>0</v>
      </c>
      <c r="T131" s="284">
        <f t="shared" si="8"/>
        <v>0</v>
      </c>
      <c r="U131" s="284">
        <f t="shared" si="8"/>
        <v>0</v>
      </c>
      <c r="V131" s="284">
        <f>J131</f>
        <v>0</v>
      </c>
      <c r="W131" s="284">
        <f>K131</f>
        <v>0</v>
      </c>
      <c r="X131" s="284" t="str">
        <f>L131</f>
        <v>重み係数＝</v>
      </c>
      <c r="Y131" s="284">
        <f>M131</f>
        <v>0.5</v>
      </c>
    </row>
    <row r="132" spans="1:25" ht="16.5" customHeight="1" thickBot="1">
      <c r="A132" s="2"/>
      <c r="B132" s="24"/>
      <c r="C132" s="24"/>
      <c r="D132" s="865">
        <v>5</v>
      </c>
      <c r="E132" s="2934" t="s">
        <v>415</v>
      </c>
      <c r="F132" s="2935"/>
      <c r="G132" s="2935"/>
      <c r="H132" s="2935"/>
      <c r="I132" s="2935"/>
      <c r="J132" s="2935"/>
      <c r="K132" s="2935"/>
      <c r="L132" s="2935"/>
      <c r="M132" s="2936"/>
      <c r="N132" s="2"/>
      <c r="O132" s="15"/>
    </row>
    <row r="133" spans="1:25" ht="16.5" customHeight="1">
      <c r="A133" s="2"/>
      <c r="B133" s="24"/>
      <c r="C133" s="24"/>
      <c r="D133" s="25" t="str">
        <f>IF(D132=$Q$14,$R$9,IF(ROUNDDOWN(D132,0)=$Q$9,$S$9,$R$9))</f>
        <v>　レベル　1</v>
      </c>
      <c r="E133" s="438" t="s">
        <v>11</v>
      </c>
      <c r="F133" s="487"/>
      <c r="G133" s="487"/>
      <c r="H133" s="487"/>
      <c r="I133" s="487"/>
      <c r="J133" s="487"/>
      <c r="K133" s="487"/>
      <c r="L133" s="487"/>
      <c r="M133" s="488"/>
      <c r="N133" s="2"/>
      <c r="O133" s="15"/>
      <c r="P133" s="491">
        <f>$Q$9</f>
        <v>1</v>
      </c>
      <c r="U133" s="491">
        <f>$Q$9</f>
        <v>1</v>
      </c>
    </row>
    <row r="134" spans="1:25" ht="16.5" customHeight="1">
      <c r="A134" s="2"/>
      <c r="B134" s="24"/>
      <c r="C134" s="24"/>
      <c r="D134" s="28" t="str">
        <f>IF(D132=$Q$14,$R$10,IF(ROUNDDOWN(D132,0)=$Q$10,$S$10,$R$10))</f>
        <v>　レベル　2</v>
      </c>
      <c r="E134" s="439" t="s">
        <v>409</v>
      </c>
      <c r="F134" s="489"/>
      <c r="G134" s="489"/>
      <c r="H134" s="489"/>
      <c r="I134" s="489"/>
      <c r="J134" s="489"/>
      <c r="K134" s="489"/>
      <c r="L134" s="489"/>
      <c r="M134" s="490"/>
      <c r="N134" s="2"/>
      <c r="O134" s="15"/>
      <c r="P134" s="491" t="s">
        <v>68</v>
      </c>
      <c r="U134" s="491">
        <f>$Q$10</f>
        <v>2</v>
      </c>
    </row>
    <row r="135" spans="1:25" ht="16.5" customHeight="1">
      <c r="A135" s="2"/>
      <c r="B135" s="24"/>
      <c r="C135" s="24"/>
      <c r="D135" s="28" t="str">
        <f>IF(D132=$Q$14,$R$11,IF(ROUNDDOWN(D132,0)=$Q$11,$S$11,$R$11))</f>
        <v>　レベル　3</v>
      </c>
      <c r="E135" s="439" t="s">
        <v>725</v>
      </c>
      <c r="F135" s="489"/>
      <c r="G135" s="489"/>
      <c r="H135" s="489"/>
      <c r="I135" s="489"/>
      <c r="J135" s="489"/>
      <c r="K135" s="489"/>
      <c r="L135" s="489"/>
      <c r="M135" s="490"/>
      <c r="N135" s="2"/>
      <c r="O135" s="15"/>
      <c r="P135" s="491">
        <f>$Q$11</f>
        <v>3</v>
      </c>
      <c r="U135" s="491">
        <f>$Q$11</f>
        <v>3</v>
      </c>
    </row>
    <row r="136" spans="1:25" ht="16.5" customHeight="1">
      <c r="A136" s="2"/>
      <c r="B136" s="24"/>
      <c r="C136" s="24"/>
      <c r="D136" s="28" t="str">
        <f>IF(D132=$Q$14,$R$12,IF(ROUNDDOWN(D132,0)=$Q$12,$S$12,$R$12))</f>
        <v>　レベル　4</v>
      </c>
      <c r="E136" s="451" t="s">
        <v>726</v>
      </c>
      <c r="F136" s="2630"/>
      <c r="G136" s="2630"/>
      <c r="H136" s="2630"/>
      <c r="I136" s="2630"/>
      <c r="J136" s="2630"/>
      <c r="K136" s="2630"/>
      <c r="L136" s="2630"/>
      <c r="M136" s="2631"/>
      <c r="N136" s="2"/>
      <c r="O136" s="15"/>
      <c r="P136" s="491">
        <f>$Q$12</f>
        <v>4</v>
      </c>
      <c r="U136" s="491">
        <f>$Q$12</f>
        <v>4</v>
      </c>
    </row>
    <row r="137" spans="1:25" ht="16.5" customHeight="1">
      <c r="A137" s="2"/>
      <c r="B137" s="24"/>
      <c r="C137" s="24"/>
      <c r="D137" s="26" t="str">
        <f>IF(D132=$Q$14,$R$13,IF(ROUNDDOWN(D132,0)=$Q$13,$S$13,$R$13))</f>
        <v>■レベル　5</v>
      </c>
      <c r="E137" s="473" t="s">
        <v>727</v>
      </c>
      <c r="F137" s="2632"/>
      <c r="G137" s="2632"/>
      <c r="H137" s="2632"/>
      <c r="I137" s="2632"/>
      <c r="J137" s="2632"/>
      <c r="K137" s="2632"/>
      <c r="L137" s="2632"/>
      <c r="M137" s="2633"/>
      <c r="N137" s="2"/>
      <c r="O137" s="15"/>
      <c r="P137" s="491">
        <f>$Q$13</f>
        <v>5</v>
      </c>
      <c r="U137" s="491">
        <f>$Q$13</f>
        <v>5</v>
      </c>
    </row>
    <row r="138" spans="1:25" s="29" customFormat="1" ht="8.25" customHeight="1">
      <c r="A138" s="19"/>
      <c r="B138" s="137"/>
      <c r="C138" s="504"/>
      <c r="D138" s="270"/>
      <c r="E138" s="270"/>
      <c r="F138" s="2"/>
      <c r="G138" s="2"/>
      <c r="H138" s="2"/>
      <c r="I138" s="2"/>
      <c r="J138" s="2"/>
      <c r="K138" s="2"/>
      <c r="L138" s="2"/>
      <c r="M138" s="2"/>
      <c r="N138" s="22"/>
      <c r="P138" s="491" t="s">
        <v>68</v>
      </c>
      <c r="Q138" s="284" t="s">
        <v>87</v>
      </c>
      <c r="R138" s="4"/>
      <c r="S138" s="4"/>
      <c r="T138" s="113"/>
    </row>
    <row r="139" spans="1:25" s="29" customFormat="1" ht="21" customHeight="1">
      <c r="A139" s="19"/>
      <c r="B139" s="137"/>
      <c r="C139" s="504"/>
      <c r="E139" s="646" t="s">
        <v>3</v>
      </c>
      <c r="F139" s="647"/>
      <c r="G139" s="2441"/>
      <c r="H139" s="2442"/>
      <c r="I139" s="990"/>
      <c r="J139" s="990"/>
      <c r="K139" s="990"/>
      <c r="L139" s="990"/>
      <c r="M139" s="991"/>
      <c r="N139" s="22"/>
      <c r="P139" s="511"/>
      <c r="Q139" s="284"/>
      <c r="R139" s="4"/>
      <c r="S139" s="4"/>
      <c r="T139" s="113"/>
      <c r="U139" s="511"/>
      <c r="V139" s="113"/>
      <c r="W139" s="113"/>
      <c r="X139" s="113"/>
      <c r="Y139" s="113"/>
    </row>
    <row r="140" spans="1:25" ht="14.4">
      <c r="A140" s="2"/>
      <c r="B140" s="134"/>
      <c r="C140" s="134"/>
      <c r="D140" s="134"/>
      <c r="E140" s="134"/>
      <c r="F140" s="134"/>
      <c r="G140" s="134"/>
      <c r="H140" s="134"/>
      <c r="I140" s="134"/>
      <c r="J140" s="134"/>
      <c r="K140" s="134"/>
      <c r="L140" s="134"/>
      <c r="M140" s="134"/>
      <c r="N140" s="2"/>
      <c r="O140" s="15"/>
      <c r="P140" s="511"/>
      <c r="Q140" s="15"/>
      <c r="R140" s="15"/>
      <c r="S140" s="15"/>
      <c r="U140" s="511"/>
    </row>
    <row r="141" spans="1:25" ht="15.6">
      <c r="A141" s="2"/>
      <c r="B141" s="513">
        <v>3.2</v>
      </c>
      <c r="C141" s="23" t="s">
        <v>533</v>
      </c>
      <c r="D141" s="23"/>
      <c r="E141" s="13"/>
      <c r="F141" s="130"/>
      <c r="G141" s="130"/>
      <c r="H141" s="131"/>
      <c r="I141" s="131"/>
      <c r="J141" s="131"/>
      <c r="K141" s="41"/>
      <c r="L141" s="41"/>
      <c r="M141" s="41"/>
      <c r="N141" s="2"/>
      <c r="O141" s="15"/>
    </row>
    <row r="142" spans="1:25" s="15" customFormat="1" ht="16.5" customHeight="1" thickBot="1">
      <c r="A142" s="13"/>
      <c r="B142" s="13"/>
      <c r="C142" s="13"/>
      <c r="D142" s="114"/>
      <c r="E142" s="13"/>
      <c r="F142" s="13"/>
      <c r="G142" s="13"/>
      <c r="H142" s="13"/>
      <c r="I142" s="22"/>
      <c r="K142" s="22"/>
      <c r="L142" s="148" t="s">
        <v>2</v>
      </c>
      <c r="M142" s="145">
        <f>重み!M78</f>
        <v>0.5</v>
      </c>
      <c r="N142" s="13"/>
      <c r="O142" s="29" t="str">
        <f>C141</f>
        <v>エネルギーの管理と制御</v>
      </c>
      <c r="P142" s="29">
        <f>D141</f>
        <v>0</v>
      </c>
      <c r="Q142" s="284">
        <f t="shared" ref="Q142:U142" si="9">E142</f>
        <v>0</v>
      </c>
      <c r="R142" s="284">
        <f t="shared" si="9"/>
        <v>0</v>
      </c>
      <c r="S142" s="284">
        <f t="shared" si="9"/>
        <v>0</v>
      </c>
      <c r="T142" s="284">
        <f t="shared" si="9"/>
        <v>0</v>
      </c>
      <c r="U142" s="284">
        <f t="shared" si="9"/>
        <v>0</v>
      </c>
      <c r="V142" s="284">
        <f>J142</f>
        <v>0</v>
      </c>
      <c r="W142" s="284">
        <f>K142</f>
        <v>0</v>
      </c>
      <c r="X142" s="284" t="str">
        <f>L142</f>
        <v>重み係数＝</v>
      </c>
      <c r="Y142" s="284">
        <f>M142</f>
        <v>0.5</v>
      </c>
    </row>
    <row r="143" spans="1:25" ht="16.5" customHeight="1" thickBot="1">
      <c r="A143" s="2"/>
      <c r="B143" s="137"/>
      <c r="C143" s="2"/>
      <c r="D143" s="865">
        <v>3</v>
      </c>
      <c r="E143" s="2934" t="s">
        <v>415</v>
      </c>
      <c r="F143" s="2935"/>
      <c r="G143" s="2935"/>
      <c r="H143" s="2935"/>
      <c r="I143" s="2935"/>
      <c r="J143" s="2935"/>
      <c r="K143" s="2935"/>
      <c r="L143" s="2935"/>
      <c r="M143" s="2936"/>
      <c r="N143" s="2"/>
    </row>
    <row r="144" spans="1:25" ht="16.5" customHeight="1">
      <c r="A144" s="2"/>
      <c r="B144" s="137"/>
      <c r="C144" s="2"/>
      <c r="D144" s="25" t="str">
        <f>IF(D143=$Q$14,$R$9,IF(ROUNDDOWN(D143,0)=$Q$9,$S$9,$R$9))</f>
        <v>　レベル　1</v>
      </c>
      <c r="E144" s="438" t="s">
        <v>409</v>
      </c>
      <c r="F144" s="487"/>
      <c r="G144" s="487"/>
      <c r="H144" s="487"/>
      <c r="I144" s="487"/>
      <c r="J144" s="487"/>
      <c r="K144" s="487"/>
      <c r="L144" s="487"/>
      <c r="M144" s="488"/>
      <c r="N144" s="2"/>
      <c r="P144" s="491" t="s">
        <v>820</v>
      </c>
      <c r="U144" s="491">
        <f>$Q$9</f>
        <v>1</v>
      </c>
    </row>
    <row r="145" spans="1:25" ht="16.5" customHeight="1">
      <c r="A145" s="2"/>
      <c r="B145" s="137"/>
      <c r="C145" s="2"/>
      <c r="D145" s="28" t="str">
        <f>IF(D143=$Q$14,$R$10,IF(ROUNDDOWN(D143,0)=$Q$10,$S$10,$R$10))</f>
        <v>　レベル　2</v>
      </c>
      <c r="E145" s="439" t="s">
        <v>409</v>
      </c>
      <c r="F145" s="489"/>
      <c r="G145" s="489"/>
      <c r="H145" s="489"/>
      <c r="I145" s="489"/>
      <c r="J145" s="489"/>
      <c r="K145" s="489"/>
      <c r="L145" s="489"/>
      <c r="M145" s="490"/>
      <c r="N145" s="2"/>
      <c r="P145" s="491" t="s">
        <v>821</v>
      </c>
      <c r="U145" s="491">
        <f>$Q$10</f>
        <v>2</v>
      </c>
    </row>
    <row r="146" spans="1:25" ht="16.5" customHeight="1">
      <c r="A146" s="2"/>
      <c r="B146" s="137"/>
      <c r="C146" s="2"/>
      <c r="D146" s="28" t="str">
        <f>IF(D143=$Q$14,$R$11,IF(ROUNDDOWN(D143,0)=$Q$11,$S$11,$R$11))</f>
        <v>■レベル　3</v>
      </c>
      <c r="E146" s="439" t="s">
        <v>11</v>
      </c>
      <c r="F146" s="489"/>
      <c r="G146" s="489"/>
      <c r="H146" s="489"/>
      <c r="I146" s="489"/>
      <c r="J146" s="489"/>
      <c r="K146" s="489"/>
      <c r="L146" s="489"/>
      <c r="M146" s="490"/>
      <c r="N146" s="2"/>
      <c r="P146" s="491">
        <f>$Q$11</f>
        <v>3</v>
      </c>
      <c r="U146" s="491">
        <f>$Q$11</f>
        <v>3</v>
      </c>
    </row>
    <row r="147" spans="1:25" ht="16.5" customHeight="1">
      <c r="A147" s="2"/>
      <c r="B147" s="137"/>
      <c r="C147" s="2"/>
      <c r="D147" s="28" t="str">
        <f>IF(D143=$Q$14,$R$12,IF(ROUNDDOWN(D143,0)=$Q$12,$S$12,$R$12))</f>
        <v>　レベル　4</v>
      </c>
      <c r="E147" s="451" t="s">
        <v>728</v>
      </c>
      <c r="F147" s="2630"/>
      <c r="G147" s="2630"/>
      <c r="H147" s="2630"/>
      <c r="I147" s="2630"/>
      <c r="J147" s="2630"/>
      <c r="K147" s="2630"/>
      <c r="L147" s="2630"/>
      <c r="M147" s="2631"/>
      <c r="N147" s="2"/>
      <c r="P147" s="491">
        <f>$Q$12</f>
        <v>4</v>
      </c>
      <c r="Q147" s="499"/>
      <c r="R147" s="499"/>
      <c r="S147" s="499"/>
      <c r="U147" s="491">
        <f>$Q$12</f>
        <v>4</v>
      </c>
    </row>
    <row r="148" spans="1:25" ht="16.5" customHeight="1">
      <c r="A148" s="2"/>
      <c r="B148" s="137"/>
      <c r="C148" s="2"/>
      <c r="D148" s="26" t="str">
        <f>IF(D143=$Q$14,$R$13,IF(ROUNDDOWN(D143,0)=$Q$13,$S$13,$R$13))</f>
        <v>　レベル　5</v>
      </c>
      <c r="E148" s="473" t="s">
        <v>661</v>
      </c>
      <c r="F148" s="2632"/>
      <c r="G148" s="2632"/>
      <c r="H148" s="2632"/>
      <c r="I148" s="2632"/>
      <c r="J148" s="2632"/>
      <c r="K148" s="2632"/>
      <c r="L148" s="2632"/>
      <c r="M148" s="2633"/>
      <c r="N148" s="2"/>
      <c r="P148" s="491">
        <f>$Q$13</f>
        <v>5</v>
      </c>
      <c r="U148" s="491">
        <f>$Q$13</f>
        <v>5</v>
      </c>
    </row>
    <row r="149" spans="1:25" s="29" customFormat="1" ht="8.25" customHeight="1">
      <c r="A149" s="19"/>
      <c r="B149" s="137"/>
      <c r="C149" s="504"/>
      <c r="D149" s="270"/>
      <c r="E149" s="270"/>
      <c r="F149" s="2"/>
      <c r="G149" s="2"/>
      <c r="H149" s="2"/>
      <c r="I149" s="2"/>
      <c r="J149" s="2"/>
      <c r="K149" s="2"/>
      <c r="L149" s="2"/>
      <c r="M149" s="2"/>
      <c r="N149" s="22"/>
      <c r="P149" s="491" t="s">
        <v>68</v>
      </c>
      <c r="Q149" s="284" t="s">
        <v>87</v>
      </c>
      <c r="R149" s="4"/>
      <c r="S149" s="4"/>
      <c r="T149" s="113"/>
    </row>
    <row r="150" spans="1:25" s="29" customFormat="1" ht="21" customHeight="1">
      <c r="A150" s="19"/>
      <c r="B150" s="137"/>
      <c r="C150" s="504"/>
      <c r="E150" s="646" t="s">
        <v>3</v>
      </c>
      <c r="F150" s="647"/>
      <c r="G150" s="2441"/>
      <c r="H150" s="2442"/>
      <c r="I150" s="990"/>
      <c r="J150" s="990"/>
      <c r="K150" s="990"/>
      <c r="L150" s="990"/>
      <c r="M150" s="991"/>
      <c r="N150" s="22"/>
      <c r="P150" s="511"/>
      <c r="Q150" s="284"/>
      <c r="R150" s="4"/>
      <c r="S150" s="4"/>
      <c r="T150" s="113"/>
      <c r="U150" s="511"/>
      <c r="V150" s="113"/>
      <c r="W150" s="113"/>
      <c r="X150" s="113"/>
      <c r="Y150" s="113"/>
    </row>
    <row r="151" spans="1:25" ht="14.25" customHeight="1"/>
    <row r="152" spans="1:25" ht="14.25" customHeight="1"/>
    <row r="153" spans="1:25" ht="14.25" customHeight="1"/>
    <row r="154" spans="1:25" ht="14.25" customHeight="1"/>
    <row r="155" spans="1:25" ht="14.25" customHeight="1"/>
    <row r="156" spans="1:25" ht="14.25" customHeight="1"/>
    <row r="157" spans="1:25" ht="14.25" customHeight="1"/>
    <row r="158" spans="1:25" ht="14.25" customHeight="1"/>
    <row r="159" spans="1:25" ht="14.25" customHeight="1"/>
    <row r="160" spans="1:25"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sheetData>
  <sheetProtection algorithmName="SHA-512" hashValue="lK5Mwyy+4LloKBWzjxUm4mpqwaPg5PugwkR3AthR89D2xjjjTODT7OkZ0sKX4xxliqe40gj2Nbm7jOYFbbv1SA==" saltValue="M9NdA3nLcfY69y7kNxidiw==" spinCount="100000" sheet="1" objects="1" scenarios="1"/>
  <mergeCells count="26">
    <mergeCell ref="E82:E83"/>
    <mergeCell ref="F82:F83"/>
    <mergeCell ref="I82:L82"/>
    <mergeCell ref="I83:L83"/>
    <mergeCell ref="F94:F95"/>
    <mergeCell ref="E94:E95"/>
    <mergeCell ref="I95:L95"/>
    <mergeCell ref="I94:L94"/>
    <mergeCell ref="G79:H79"/>
    <mergeCell ref="F80:F81"/>
    <mergeCell ref="D9:D13"/>
    <mergeCell ref="K32:L32"/>
    <mergeCell ref="E28:J28"/>
    <mergeCell ref="E70:M70"/>
    <mergeCell ref="E50:M50"/>
    <mergeCell ref="K9:M13"/>
    <mergeCell ref="E9:J13"/>
    <mergeCell ref="E32:J34"/>
    <mergeCell ref="E54:M54"/>
    <mergeCell ref="E55:M55"/>
    <mergeCell ref="J15:K15"/>
    <mergeCell ref="E143:M143"/>
    <mergeCell ref="G110:M110"/>
    <mergeCell ref="E103:M103"/>
    <mergeCell ref="E120:M120"/>
    <mergeCell ref="E132:M132"/>
  </mergeCells>
  <phoneticPr fontId="4"/>
  <conditionalFormatting sqref="D50">
    <cfRule type="expression" dxfId="91" priority="23" stopIfTrue="1">
      <formula>AND(OR(D50&lt;1,D50&gt;5),D50&lt;&gt;P56)</formula>
    </cfRule>
    <cfRule type="expression" dxfId="90" priority="24" stopIfTrue="1">
      <formula>M49&gt;0</formula>
    </cfRule>
  </conditionalFormatting>
  <conditionalFormatting sqref="D120 D132 D143">
    <cfRule type="expression" dxfId="89" priority="67" stopIfTrue="1">
      <formula>AND(OR(D120&lt;1,D120&gt;5),D120&lt;&gt;P126)</formula>
    </cfRule>
    <cfRule type="expression" dxfId="88" priority="68" stopIfTrue="1">
      <formula>M119&gt;0</formula>
    </cfRule>
  </conditionalFormatting>
  <conditionalFormatting sqref="E79:E82">
    <cfRule type="expression" dxfId="87" priority="1" stopIfTrue="1">
      <formula>$M$69&gt;0</formula>
    </cfRule>
  </conditionalFormatting>
  <conditionalFormatting sqref="E93:E94">
    <cfRule type="expression" dxfId="86" priority="74" stopIfTrue="1">
      <formula>$M$69&gt;0</formula>
    </cfRule>
  </conditionalFormatting>
  <conditionalFormatting sqref="E111:E113">
    <cfRule type="expression" dxfId="85" priority="75" stopIfTrue="1">
      <formula>$M$102&gt;0</formula>
    </cfRule>
  </conditionalFormatting>
  <conditionalFormatting sqref="F36 K36 K32:L32">
    <cfRule type="expression" dxfId="84" priority="185">
      <formula>$J$15=$T$17</formula>
    </cfRule>
  </conditionalFormatting>
  <conditionalFormatting sqref="F36 K36">
    <cfRule type="cellIs" dxfId="83" priority="46" stopIfTrue="1" operator="equal">
      <formula>0</formula>
    </cfRule>
  </conditionalFormatting>
  <conditionalFormatting sqref="I19:I25">
    <cfRule type="expression" dxfId="82" priority="184">
      <formula>$J$15=$T$16</formula>
    </cfRule>
  </conditionalFormatting>
  <dataValidations xWindow="317" yWindow="180" count="9">
    <dataValidation type="list" allowBlank="1" showInputMessage="1" sqref="D143 D120 D132 D50" xr:uid="{00000000-0002-0000-0B00-000000000000}">
      <formula1>P51:P56</formula1>
    </dataValidation>
    <dataValidation type="textLength" operator="lessThanOrEqual" allowBlank="1" showInputMessage="1" showErrorMessage="1" sqref="F139 F127 F66 F98 F116 F150" xr:uid="{00000000-0002-0000-0B00-000002000000}">
      <formula1>30</formula1>
    </dataValidation>
    <dataValidation type="list" operator="greaterThanOrEqual" allowBlank="1" showInputMessage="1" showErrorMessage="1" sqref="E111:E113" xr:uid="{00000000-0002-0000-0B00-000003000000}">
      <formula1>$U$3:$U$4</formula1>
    </dataValidation>
    <dataValidation allowBlank="1" showInputMessage="1" sqref="D8 E18" xr:uid="{00000000-0002-0000-0B00-000004000000}"/>
    <dataValidation type="list" allowBlank="1" showInputMessage="1" showErrorMessage="1" sqref="F36" xr:uid="{00000000-0002-0000-0B00-000006000000}">
      <formula1>$T$36:$T$39</formula1>
    </dataValidation>
    <dataValidation type="list" allowBlank="1" showInputMessage="1" showErrorMessage="1" sqref="K36" xr:uid="{00000000-0002-0000-0B00-000007000000}">
      <formula1>$U$36:$U$38</formula1>
    </dataValidation>
    <dataValidation type="list" allowBlank="1" showInputMessage="1" sqref="K32:L32" xr:uid="{00000000-0002-0000-0B00-000008000000}">
      <formula1>$T$31:$T$34</formula1>
    </dataValidation>
    <dataValidation type="list" allowBlank="1" showInputMessage="1" showErrorMessage="1" sqref="J15:K15" xr:uid="{413EBDDF-E054-41BD-BB90-1D2F3084A621}">
      <formula1>$T$15:$T$17</formula1>
    </dataValidation>
    <dataValidation type="list" allowBlank="1" showInputMessage="1" showErrorMessage="1" sqref="E79:E82 E93:E94" xr:uid="{00000000-0002-0000-0B00-000009000000}">
      <formula1>P79:Q79</formula1>
    </dataValidation>
  </dataValidations>
  <printOptions horizontalCentered="1"/>
  <pageMargins left="0.78740157480314965" right="0.78740157480314965" top="0.78740157480314965" bottom="0.78740157480314965" header="0.51181102362204722" footer="0.51181102362204722"/>
  <pageSetup paperSize="9" scale="69" fitToHeight="0" orientation="portrait" horizontalDpi="4294967293" verticalDpi="4294967293" r:id="rId1"/>
  <headerFooter alignWithMargins="0">
    <oddHeader>&amp;L&amp;F&amp;R&amp;A</oddHeader>
    <oddFooter>&amp;C&amp;P/&amp;N</oddFooter>
  </headerFooter>
  <rowBreaks count="1" manualBreakCount="1">
    <brk id="67"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autoPageBreaks="0" fitToPage="1"/>
  </sheetPr>
  <dimension ref="A1:IV184"/>
  <sheetViews>
    <sheetView showGridLines="0" zoomScaleNormal="100" workbookViewId="0">
      <selection activeCell="D109" sqref="D109"/>
    </sheetView>
  </sheetViews>
  <sheetFormatPr defaultColWidth="0" defaultRowHeight="14.4" zeroHeight="1"/>
  <cols>
    <col min="1" max="1" width="1.33203125" style="4" customWidth="1"/>
    <col min="2" max="2" width="4.6640625" style="133" customWidth="1"/>
    <col min="3" max="3" width="1.44140625" style="4" customWidth="1"/>
    <col min="4" max="13" width="11.6640625" style="4" customWidth="1"/>
    <col min="14" max="14" width="1.6640625" style="4" customWidth="1"/>
    <col min="15" max="15" width="6" style="4" hidden="1" customWidth="1"/>
    <col min="16" max="16" width="18.77734375" style="4" hidden="1" customWidth="1"/>
    <col min="17" max="17" width="7.109375" style="4" hidden="1" customWidth="1"/>
    <col min="18" max="18" width="9.33203125" style="4" hidden="1" customWidth="1"/>
    <col min="19" max="19" width="10" style="4" hidden="1" customWidth="1"/>
    <col min="20" max="20" width="5" style="4" hidden="1" customWidth="1"/>
    <col min="21" max="21" width="7.109375" style="4" hidden="1" customWidth="1"/>
    <col min="22" max="22" width="11" style="4" hidden="1" customWidth="1"/>
    <col min="23" max="23" width="4.77734375" style="4" hidden="1" customWidth="1"/>
    <col min="24" max="24" width="9.21875" style="4" hidden="1" customWidth="1"/>
    <col min="25" max="25" width="5.33203125" style="4" hidden="1" customWidth="1"/>
    <col min="26" max="255" width="9" style="4" hidden="1" customWidth="1"/>
    <col min="256" max="16384" width="1.33203125" style="4" hidden="1"/>
  </cols>
  <sheetData>
    <row r="1" spans="1:25" s="29" customFormat="1" ht="22.5" customHeight="1">
      <c r="A1" s="19"/>
      <c r="B1" s="137"/>
      <c r="C1" s="22"/>
      <c r="D1" s="129"/>
      <c r="E1" s="19"/>
      <c r="F1" s="19"/>
      <c r="G1" s="19"/>
      <c r="H1" s="19"/>
      <c r="I1" s="19"/>
      <c r="J1" s="19"/>
      <c r="K1" s="861" t="s">
        <v>362</v>
      </c>
      <c r="L1" s="862" t="str">
        <f>IF(メイン!$C$10="","",メイン!$C$10)</f>
        <v>あおもりGX</v>
      </c>
      <c r="M1" s="863"/>
      <c r="N1" s="22"/>
      <c r="O1" s="121"/>
      <c r="P1" s="121"/>
      <c r="Q1" s="121"/>
    </row>
    <row r="2" spans="1:25" s="29" customFormat="1" ht="9" customHeight="1" thickBot="1">
      <c r="A2" s="19"/>
      <c r="B2" s="137"/>
      <c r="C2" s="22"/>
      <c r="D2" s="129"/>
      <c r="E2" s="19"/>
      <c r="F2" s="19"/>
      <c r="G2" s="19"/>
      <c r="H2" s="19"/>
      <c r="I2" s="19"/>
      <c r="J2" s="19"/>
      <c r="K2" s="860"/>
      <c r="L2" s="317"/>
      <c r="M2" s="19"/>
      <c r="N2" s="22"/>
      <c r="O2" s="121"/>
      <c r="P2" s="121"/>
      <c r="Q2" s="121"/>
    </row>
    <row r="3" spans="1:25" ht="21.6" thickBot="1">
      <c r="A3" s="2"/>
      <c r="B3" s="262" t="s">
        <v>948</v>
      </c>
      <c r="C3" s="19"/>
      <c r="D3" s="19"/>
      <c r="E3" s="19"/>
      <c r="H3" s="124"/>
      <c r="I3" s="41" t="s">
        <v>66</v>
      </c>
      <c r="J3" s="21"/>
      <c r="K3" s="19"/>
      <c r="L3" s="19"/>
      <c r="M3" s="129" t="str">
        <f>IF(メイン!E32=0,"",メイン!E32)</f>
        <v/>
      </c>
      <c r="N3" s="2"/>
      <c r="O3" s="111"/>
      <c r="P3" s="275" t="s">
        <v>88</v>
      </c>
      <c r="Q3" s="29"/>
      <c r="R3" s="283">
        <v>0</v>
      </c>
      <c r="S3" s="35"/>
      <c r="T3" s="278"/>
      <c r="U3" s="278"/>
      <c r="V3" s="278" t="str">
        <f>メイン!O32</f>
        <v>基本設計段階</v>
      </c>
      <c r="W3" s="29"/>
      <c r="X3" s="29"/>
      <c r="Y3" s="29"/>
    </row>
    <row r="4" spans="1:25" ht="6" customHeight="1">
      <c r="A4" s="2"/>
      <c r="B4" s="24"/>
      <c r="C4" s="19"/>
      <c r="D4" s="19"/>
      <c r="E4" s="19"/>
      <c r="F4" s="19"/>
      <c r="G4" s="19"/>
      <c r="H4" s="19"/>
      <c r="I4" s="19"/>
      <c r="J4" s="19"/>
      <c r="K4" s="19"/>
      <c r="L4" s="19"/>
      <c r="M4" s="19"/>
      <c r="N4" s="2"/>
      <c r="O4" s="29"/>
      <c r="P4" s="29"/>
      <c r="Q4" s="29"/>
      <c r="R4" s="283">
        <v>1</v>
      </c>
      <c r="S4" s="35"/>
      <c r="T4" s="278" t="s">
        <v>89</v>
      </c>
      <c r="U4" s="278" t="s">
        <v>90</v>
      </c>
      <c r="V4" s="278" t="str">
        <f>メイン!O33</f>
        <v>実施設計段階</v>
      </c>
      <c r="W4" s="29" t="s">
        <v>18</v>
      </c>
      <c r="X4" s="29"/>
      <c r="Y4" s="29"/>
    </row>
    <row r="5" spans="1:25" s="15" customFormat="1" ht="13.5" customHeight="1">
      <c r="A5" s="13"/>
      <c r="B5" s="513">
        <v>1</v>
      </c>
      <c r="C5" s="23" t="s">
        <v>536</v>
      </c>
      <c r="D5" s="23"/>
      <c r="E5" s="23"/>
      <c r="F5" s="22"/>
      <c r="G5" s="22"/>
      <c r="H5" s="22"/>
      <c r="I5" s="22"/>
      <c r="J5" s="22"/>
      <c r="K5" s="22"/>
      <c r="L5" s="22"/>
      <c r="M5" s="22"/>
      <c r="N5" s="13"/>
      <c r="O5" s="147"/>
      <c r="P5" s="284"/>
      <c r="Q5" s="29"/>
      <c r="R5" s="283">
        <v>2</v>
      </c>
      <c r="S5" s="264"/>
      <c r="T5" s="264"/>
      <c r="U5" s="264"/>
      <c r="V5" s="278" t="str">
        <f>メイン!O34</f>
        <v>竣工段階</v>
      </c>
      <c r="W5" s="29" t="s">
        <v>19</v>
      </c>
      <c r="X5" s="29"/>
      <c r="Y5" s="29"/>
    </row>
    <row r="6" spans="1:25" s="15" customFormat="1" ht="13.5" customHeight="1">
      <c r="A6" s="13"/>
      <c r="B6" s="137">
        <v>1.1000000000000001</v>
      </c>
      <c r="C6" s="23" t="s">
        <v>336</v>
      </c>
      <c r="D6" s="23"/>
      <c r="E6" s="23"/>
      <c r="F6" s="22"/>
      <c r="G6" s="22"/>
      <c r="H6" s="22"/>
      <c r="I6" s="22"/>
      <c r="J6" s="22"/>
      <c r="K6" s="22"/>
      <c r="L6" s="22"/>
      <c r="M6" s="22"/>
      <c r="N6" s="13"/>
      <c r="O6" s="147"/>
      <c r="P6" s="284"/>
      <c r="Q6" s="29"/>
      <c r="R6" s="283"/>
      <c r="S6" s="264"/>
      <c r="T6" s="264"/>
      <c r="U6" s="264"/>
      <c r="V6" s="278"/>
      <c r="W6" s="29"/>
      <c r="X6" s="29"/>
      <c r="Y6" s="29"/>
    </row>
    <row r="7" spans="1:25" s="15" customFormat="1" ht="15" thickBot="1">
      <c r="A7" s="13"/>
      <c r="E7" s="23"/>
      <c r="F7" s="22"/>
      <c r="G7" s="129" t="s">
        <v>313</v>
      </c>
      <c r="H7" s="129" t="s">
        <v>314</v>
      </c>
      <c r="I7" s="129" t="s">
        <v>315</v>
      </c>
      <c r="J7" s="22"/>
      <c r="K7" s="22"/>
      <c r="L7" s="22"/>
      <c r="M7" s="22"/>
      <c r="N7" s="13"/>
      <c r="O7" s="147"/>
      <c r="Q7" s="29"/>
      <c r="R7" s="283" t="s">
        <v>87</v>
      </c>
      <c r="S7" s="264"/>
      <c r="T7" s="113"/>
      <c r="U7" s="113"/>
      <c r="V7" s="278">
        <f>メイン!O31</f>
        <v>0</v>
      </c>
      <c r="W7" s="147"/>
      <c r="X7" s="147"/>
      <c r="Y7" s="147"/>
    </row>
    <row r="8" spans="1:25" s="15" customFormat="1" ht="16.5" customHeight="1" thickBot="1">
      <c r="A8" s="13"/>
      <c r="B8" s="521"/>
      <c r="C8" s="23"/>
      <c r="D8" s="662">
        <f>D11*M11+D28*M27+D42*M41</f>
        <v>5</v>
      </c>
      <c r="E8" s="23"/>
      <c r="F8" s="332" t="s">
        <v>316</v>
      </c>
      <c r="G8" s="1589">
        <v>1</v>
      </c>
      <c r="H8" s="1589"/>
      <c r="I8" s="1589"/>
      <c r="J8" s="127" t="str">
        <f>IF(P8&lt;&gt;1,"合計が１になるように入力してください","")</f>
        <v/>
      </c>
      <c r="K8" s="22"/>
      <c r="L8" s="22"/>
      <c r="M8" s="22"/>
      <c r="N8" s="13"/>
      <c r="O8" s="147"/>
      <c r="P8" s="284">
        <f>G8+H8+I8</f>
        <v>1</v>
      </c>
      <c r="Q8" s="29"/>
      <c r="R8" s="667"/>
      <c r="S8" s="264"/>
      <c r="T8" s="113"/>
      <c r="U8" s="113"/>
      <c r="V8" s="113"/>
      <c r="W8" s="147"/>
      <c r="X8" s="147"/>
      <c r="Y8" s="147"/>
    </row>
    <row r="9" spans="1:25" s="15" customFormat="1" ht="18" customHeight="1">
      <c r="A9" s="13"/>
      <c r="B9" s="521"/>
      <c r="C9" s="23"/>
      <c r="D9" s="858"/>
      <c r="E9" s="23"/>
      <c r="F9" s="332"/>
      <c r="G9" s="859"/>
      <c r="H9" s="859"/>
      <c r="I9" s="859"/>
      <c r="J9" s="127"/>
      <c r="K9" s="22"/>
      <c r="L9" s="22"/>
      <c r="M9" s="22"/>
      <c r="N9" s="13"/>
      <c r="O9" s="147"/>
      <c r="P9" s="284"/>
      <c r="Q9" s="29"/>
      <c r="R9" s="667"/>
      <c r="S9" s="264"/>
      <c r="T9" s="113"/>
      <c r="U9" s="113"/>
      <c r="V9" s="113"/>
      <c r="W9" s="147"/>
      <c r="X9" s="147"/>
      <c r="Y9" s="147"/>
    </row>
    <row r="10" spans="1:25" s="15" customFormat="1" ht="16.5" customHeight="1" thickBot="1">
      <c r="A10" s="13"/>
      <c r="B10" s="521"/>
      <c r="C10" s="23"/>
      <c r="D10" s="402" t="s">
        <v>2082</v>
      </c>
      <c r="E10" s="24" t="str">
        <f>重み!C82</f>
        <v>木質系住宅</v>
      </c>
      <c r="F10" s="22"/>
      <c r="G10" s="22"/>
      <c r="H10" s="22"/>
      <c r="I10" s="22"/>
      <c r="J10" s="22"/>
      <c r="K10" s="22"/>
      <c r="L10" s="22"/>
      <c r="M10" s="22"/>
      <c r="N10" s="13"/>
      <c r="O10" s="147"/>
      <c r="P10" s="284"/>
      <c r="Q10" s="29"/>
      <c r="R10" s="667"/>
      <c r="S10" s="264"/>
      <c r="T10" s="113"/>
      <c r="U10" s="113"/>
      <c r="V10" s="113"/>
      <c r="W10" s="147"/>
      <c r="X10" s="147"/>
      <c r="Y10" s="147"/>
    </row>
    <row r="11" spans="1:25" s="15" customFormat="1" ht="16.5" customHeight="1" thickBot="1">
      <c r="A11" s="13"/>
      <c r="B11" s="521"/>
      <c r="C11" s="23"/>
      <c r="D11" s="866">
        <f>IF(D12+L22&lt;=5,D12+L22,5)</f>
        <v>5</v>
      </c>
      <c r="E11" s="23"/>
      <c r="F11" s="22"/>
      <c r="I11" s="22"/>
      <c r="J11" s="22"/>
      <c r="K11" s="22"/>
      <c r="L11" s="148" t="s">
        <v>2</v>
      </c>
      <c r="M11" s="38">
        <f>重み!M82</f>
        <v>1</v>
      </c>
      <c r="N11" s="13"/>
      <c r="O11" s="29">
        <f>C11</f>
        <v>0</v>
      </c>
      <c r="P11" s="29" t="str">
        <f>D10</f>
        <v>1.1.1</v>
      </c>
      <c r="Q11" s="29">
        <f t="shared" ref="Q11:Y11" si="0">E11</f>
        <v>0</v>
      </c>
      <c r="R11" s="29">
        <f t="shared" si="0"/>
        <v>0</v>
      </c>
      <c r="S11" s="29">
        <f t="shared" si="0"/>
        <v>0</v>
      </c>
      <c r="T11" s="29">
        <f t="shared" si="0"/>
        <v>0</v>
      </c>
      <c r="U11" s="29">
        <f t="shared" si="0"/>
        <v>0</v>
      </c>
      <c r="V11" s="29">
        <f t="shared" si="0"/>
        <v>0</v>
      </c>
      <c r="W11" s="29">
        <f t="shared" si="0"/>
        <v>0</v>
      </c>
      <c r="X11" s="29" t="str">
        <f t="shared" si="0"/>
        <v>重み係数＝</v>
      </c>
      <c r="Y11" s="29">
        <f t="shared" si="0"/>
        <v>1</v>
      </c>
    </row>
    <row r="12" spans="1:25" ht="16.5" customHeight="1" thickBot="1">
      <c r="A12" s="2"/>
      <c r="B12" s="521"/>
      <c r="C12" s="24"/>
      <c r="D12" s="864">
        <v>4</v>
      </c>
      <c r="E12" s="2934" t="s">
        <v>415</v>
      </c>
      <c r="F12" s="2935"/>
      <c r="G12" s="2935"/>
      <c r="H12" s="2935"/>
      <c r="I12" s="2935"/>
      <c r="J12" s="2935"/>
      <c r="K12" s="2935"/>
      <c r="L12" s="2935"/>
      <c r="M12" s="2936"/>
      <c r="N12" s="13"/>
      <c r="O12" s="121"/>
      <c r="P12" s="29"/>
      <c r="Q12" s="121"/>
      <c r="R12" s="29"/>
      <c r="S12" s="29"/>
      <c r="T12" s="29"/>
      <c r="U12" s="29"/>
      <c r="V12" s="29"/>
      <c r="W12" s="29"/>
      <c r="X12" s="29"/>
      <c r="Y12" s="29"/>
    </row>
    <row r="13" spans="1:25" ht="16.5" customHeight="1">
      <c r="A13" s="2"/>
      <c r="B13" s="521"/>
      <c r="C13" s="24"/>
      <c r="D13" s="25" t="str">
        <f>IF(D12=$Q$18,$R$13,IF(ROUNDDOWN(D12,0)=$Q$13,$S$13,$R$13))</f>
        <v>　レベル　1</v>
      </c>
      <c r="E13" s="666" t="s">
        <v>409</v>
      </c>
      <c r="F13" s="411"/>
      <c r="G13" s="411"/>
      <c r="H13" s="411"/>
      <c r="I13" s="411"/>
      <c r="J13" s="411"/>
      <c r="K13" s="411"/>
      <c r="L13" s="411"/>
      <c r="M13" s="664"/>
      <c r="N13" s="13"/>
      <c r="O13" s="29"/>
      <c r="P13" s="491" t="s">
        <v>848</v>
      </c>
      <c r="Q13" s="276">
        <v>1</v>
      </c>
      <c r="R13" s="279" t="s">
        <v>486</v>
      </c>
      <c r="S13" s="277" t="s">
        <v>82</v>
      </c>
      <c r="T13" s="113"/>
      <c r="U13" s="491">
        <f>$Q$13</f>
        <v>1</v>
      </c>
      <c r="V13" s="113"/>
      <c r="W13" s="113"/>
      <c r="X13" s="113"/>
      <c r="Y13" s="113"/>
    </row>
    <row r="14" spans="1:25" ht="16.5" customHeight="1">
      <c r="A14" s="2"/>
      <c r="B14" s="521"/>
      <c r="C14" s="24"/>
      <c r="D14" s="28" t="str">
        <f>IF(D12=$Q$18,$R$14,IF(ROUNDDOWN(D12,0)=$Q$14,$S$14,$R$14))</f>
        <v>　レベル　2</v>
      </c>
      <c r="E14" s="146" t="s">
        <v>409</v>
      </c>
      <c r="F14" s="410"/>
      <c r="G14" s="410"/>
      <c r="H14" s="410"/>
      <c r="I14" s="410"/>
      <c r="J14" s="410"/>
      <c r="K14" s="410"/>
      <c r="L14" s="410"/>
      <c r="M14" s="665"/>
      <c r="N14" s="13"/>
      <c r="O14" s="29"/>
      <c r="P14" s="491" t="s">
        <v>848</v>
      </c>
      <c r="Q14" s="276">
        <v>2</v>
      </c>
      <c r="R14" s="279" t="s">
        <v>487</v>
      </c>
      <c r="S14" s="277" t="s">
        <v>83</v>
      </c>
      <c r="T14" s="113"/>
      <c r="U14" s="491">
        <f>$Q$14</f>
        <v>2</v>
      </c>
      <c r="V14" s="113"/>
      <c r="W14" s="113"/>
      <c r="X14" s="113"/>
      <c r="Y14" s="113"/>
    </row>
    <row r="15" spans="1:25" ht="16.5" customHeight="1">
      <c r="A15" s="2"/>
      <c r="B15" s="521"/>
      <c r="C15" s="24"/>
      <c r="D15" s="28" t="str">
        <f>IF(D12=$Q$18,$R$15,IF(ROUNDDOWN(D12,0)=$Q$15,$S$15,$R$15))</f>
        <v>　レベル　3</v>
      </c>
      <c r="E15" s="146" t="s">
        <v>684</v>
      </c>
      <c r="F15" s="410"/>
      <c r="G15" s="410"/>
      <c r="H15" s="410"/>
      <c r="I15" s="410"/>
      <c r="J15" s="410"/>
      <c r="K15" s="410"/>
      <c r="L15" s="410"/>
      <c r="M15" s="665"/>
      <c r="N15" s="13"/>
      <c r="O15" s="29"/>
      <c r="P15" s="491">
        <f>$Q$15</f>
        <v>3</v>
      </c>
      <c r="Q15" s="276">
        <v>3</v>
      </c>
      <c r="R15" s="279" t="s">
        <v>488</v>
      </c>
      <c r="S15" s="277" t="s">
        <v>84</v>
      </c>
      <c r="T15" s="113"/>
      <c r="U15" s="491">
        <f>$Q$15</f>
        <v>3</v>
      </c>
      <c r="V15" s="113"/>
      <c r="W15" s="113"/>
      <c r="X15" s="113"/>
      <c r="Y15" s="113"/>
    </row>
    <row r="16" spans="1:25" ht="16.5" customHeight="1">
      <c r="A16" s="2"/>
      <c r="B16" s="521"/>
      <c r="C16" s="24"/>
      <c r="D16" s="28" t="str">
        <f>IF(D12=$Q$18,$R$16,IF(ROUNDDOWN(D12,0)=$Q$16,$S$16,$R$16))</f>
        <v>■レベル　4</v>
      </c>
      <c r="E16" s="146" t="s">
        <v>338</v>
      </c>
      <c r="F16" s="634"/>
      <c r="G16" s="634"/>
      <c r="H16" s="634"/>
      <c r="I16" s="634"/>
      <c r="J16" s="634"/>
      <c r="K16" s="634"/>
      <c r="L16" s="634"/>
      <c r="M16" s="635"/>
      <c r="N16" s="13"/>
      <c r="O16" s="29"/>
      <c r="P16" s="491">
        <f>$Q$16</f>
        <v>4</v>
      </c>
      <c r="Q16" s="276">
        <v>4</v>
      </c>
      <c r="R16" s="279" t="s">
        <v>489</v>
      </c>
      <c r="S16" s="277" t="s">
        <v>85</v>
      </c>
      <c r="T16" s="113"/>
      <c r="U16" s="491">
        <f>$Q$16</f>
        <v>4</v>
      </c>
      <c r="V16" s="113"/>
      <c r="W16" s="113"/>
      <c r="X16" s="113"/>
      <c r="Y16" s="113"/>
    </row>
    <row r="17" spans="1:25" ht="16.5" customHeight="1">
      <c r="A17" s="2"/>
      <c r="B17" s="521"/>
      <c r="C17" s="24"/>
      <c r="D17" s="26" t="str">
        <f>IF(D12=$Q$18,$R$17,IF(ROUNDDOWN(D12,0)=$Q$17,$S$17,$R$17))</f>
        <v>　レベル　5</v>
      </c>
      <c r="E17" s="645" t="s">
        <v>805</v>
      </c>
      <c r="F17" s="636"/>
      <c r="G17" s="636"/>
      <c r="H17" s="636"/>
      <c r="I17" s="636"/>
      <c r="J17" s="636"/>
      <c r="K17" s="636"/>
      <c r="L17" s="636"/>
      <c r="M17" s="637"/>
      <c r="N17" s="2"/>
      <c r="O17" s="29"/>
      <c r="P17" s="491">
        <f>$Q$17</f>
        <v>5</v>
      </c>
      <c r="Q17" s="276">
        <v>5</v>
      </c>
      <c r="R17" s="279" t="s">
        <v>490</v>
      </c>
      <c r="S17" s="277" t="s">
        <v>86</v>
      </c>
      <c r="T17" s="113"/>
      <c r="U17" s="491">
        <f>$Q$17</f>
        <v>5</v>
      </c>
      <c r="V17" s="113"/>
      <c r="W17" s="113"/>
      <c r="X17" s="113"/>
      <c r="Y17" s="113"/>
    </row>
    <row r="18" spans="1:25" ht="14.25" customHeight="1" thickBot="1">
      <c r="A18" s="2"/>
      <c r="B18" s="521"/>
      <c r="C18" s="24"/>
      <c r="D18" s="24"/>
      <c r="E18" s="874" t="s">
        <v>376</v>
      </c>
      <c r="F18" s="135"/>
      <c r="G18" s="135"/>
      <c r="H18" s="135"/>
      <c r="I18" s="135"/>
      <c r="J18" s="22"/>
      <c r="K18" s="22"/>
      <c r="L18" s="22"/>
      <c r="M18" s="22"/>
      <c r="N18" s="2"/>
      <c r="O18" s="29"/>
      <c r="P18" s="491" t="s">
        <v>68</v>
      </c>
      <c r="Q18" s="284" t="s">
        <v>87</v>
      </c>
      <c r="T18" s="113"/>
      <c r="U18" s="491" t="str">
        <f>$Q$18</f>
        <v>対象外</v>
      </c>
      <c r="V18" s="113"/>
      <c r="W18" s="113"/>
      <c r="X18" s="113"/>
      <c r="Y18" s="113"/>
    </row>
    <row r="19" spans="1:25" ht="46.5" customHeight="1">
      <c r="A19" s="2"/>
      <c r="B19" s="137"/>
      <c r="C19" s="27"/>
      <c r="D19" s="30"/>
      <c r="E19" s="619" t="s">
        <v>687</v>
      </c>
      <c r="F19" s="429" t="s">
        <v>20</v>
      </c>
      <c r="G19" s="2937" t="s">
        <v>662</v>
      </c>
      <c r="H19" s="2938"/>
      <c r="I19" s="2938"/>
      <c r="J19" s="2938"/>
      <c r="K19" s="2938"/>
      <c r="L19" s="2938"/>
      <c r="M19" s="2939"/>
      <c r="N19" s="2"/>
      <c r="P19" s="511"/>
      <c r="T19" s="499"/>
      <c r="U19" s="511"/>
    </row>
    <row r="20" spans="1:25" ht="16.2" thickBot="1">
      <c r="A20" s="2"/>
      <c r="B20" s="137"/>
      <c r="C20" s="27"/>
      <c r="D20" s="30"/>
      <c r="E20" s="809"/>
      <c r="F20" s="464" t="s">
        <v>21</v>
      </c>
      <c r="G20" s="451" t="s">
        <v>663</v>
      </c>
      <c r="H20" s="450"/>
      <c r="I20" s="450"/>
      <c r="J20" s="450"/>
      <c r="K20" s="450"/>
      <c r="L20" s="450"/>
      <c r="M20" s="454"/>
      <c r="N20" s="2"/>
      <c r="P20" s="511"/>
      <c r="T20" s="499"/>
      <c r="U20" s="511"/>
    </row>
    <row r="21" spans="1:25" ht="15.6" hidden="1">
      <c r="A21" s="2"/>
      <c r="B21" s="137"/>
      <c r="C21" s="27"/>
      <c r="D21" s="30"/>
      <c r="E21" s="651"/>
      <c r="F21" s="118"/>
      <c r="G21" s="444"/>
      <c r="H21" s="444"/>
      <c r="I21" s="444"/>
      <c r="J21" s="444"/>
      <c r="K21" s="444"/>
      <c r="L21" s="444"/>
      <c r="M21" s="443"/>
      <c r="N21" s="2"/>
      <c r="P21" s="511"/>
      <c r="T21" s="499"/>
      <c r="U21" s="511"/>
    </row>
    <row r="22" spans="1:25" ht="15.6">
      <c r="A22" s="2"/>
      <c r="B22" s="137"/>
      <c r="C22" s="27"/>
      <c r="D22" s="30"/>
      <c r="E22" s="661"/>
      <c r="F22" s="444"/>
      <c r="G22" s="444"/>
      <c r="H22" s="444"/>
      <c r="I22" s="444"/>
      <c r="J22" s="444"/>
      <c r="K22" s="444" t="s">
        <v>400</v>
      </c>
      <c r="L22" s="873">
        <f>IF(E19=U4,1)+IF(E20="過半",2)+IF(E20="一部",1)</f>
        <v>1</v>
      </c>
      <c r="M22" s="443" t="s">
        <v>401</v>
      </c>
      <c r="N22" s="2"/>
      <c r="P22" s="511"/>
      <c r="T22" s="499"/>
      <c r="U22" s="511"/>
    </row>
    <row r="23" spans="1:25" s="29" customFormat="1" ht="8.25" customHeight="1">
      <c r="A23" s="19"/>
      <c r="B23" s="137"/>
      <c r="C23" s="504"/>
      <c r="D23" s="270"/>
      <c r="E23" s="270"/>
      <c r="F23" s="2"/>
      <c r="G23" s="2"/>
      <c r="H23" s="2"/>
      <c r="I23" s="2"/>
      <c r="J23" s="2"/>
      <c r="K23" s="2"/>
      <c r="L23" s="2"/>
      <c r="M23" s="2"/>
      <c r="N23" s="22"/>
      <c r="P23"/>
      <c r="Q23"/>
      <c r="R23" s="4"/>
      <c r="S23" s="4"/>
      <c r="T23" s="113"/>
    </row>
    <row r="24" spans="1:25" s="29" customFormat="1" ht="21" customHeight="1">
      <c r="A24" s="19"/>
      <c r="B24" s="137"/>
      <c r="C24" s="504"/>
      <c r="E24" s="646" t="s">
        <v>3</v>
      </c>
      <c r="F24" s="647"/>
      <c r="G24" s="2441"/>
      <c r="H24" s="2442"/>
      <c r="I24" s="990"/>
      <c r="J24" s="990"/>
      <c r="K24" s="990"/>
      <c r="L24" s="990"/>
      <c r="M24" s="991"/>
      <c r="N24" s="22"/>
      <c r="P24" s="511"/>
      <c r="Q24" s="284"/>
      <c r="R24" s="4"/>
      <c r="S24" s="4"/>
      <c r="T24" s="113"/>
      <c r="U24" s="511"/>
      <c r="V24" s="113"/>
      <c r="W24" s="113"/>
      <c r="X24" s="113"/>
      <c r="Y24" s="113"/>
    </row>
    <row r="25" spans="1:25" ht="14.25" customHeight="1">
      <c r="A25" s="2"/>
      <c r="B25" s="521"/>
      <c r="C25" s="24"/>
      <c r="D25" s="24"/>
      <c r="E25" s="136"/>
      <c r="F25" s="135"/>
      <c r="G25" s="135"/>
      <c r="H25" s="135"/>
      <c r="I25" s="135"/>
      <c r="J25" s="22"/>
      <c r="K25" s="22"/>
      <c r="L25" s="22"/>
      <c r="M25" s="22"/>
      <c r="N25" s="2"/>
      <c r="O25" s="29"/>
      <c r="P25" s="511"/>
      <c r="Q25" s="284"/>
      <c r="T25" s="113"/>
      <c r="U25" s="511"/>
      <c r="V25" s="113"/>
      <c r="W25" s="113"/>
      <c r="X25" s="113"/>
      <c r="Y25" s="113"/>
    </row>
    <row r="26" spans="1:25" ht="14.25" customHeight="1" thickBot="1">
      <c r="A26" s="2"/>
      <c r="B26" s="521"/>
      <c r="C26" s="24"/>
      <c r="D26" s="402" t="s">
        <v>631</v>
      </c>
      <c r="E26" s="24" t="str">
        <f>重み!C83</f>
        <v>鉄骨系住宅</v>
      </c>
      <c r="F26" s="135"/>
      <c r="G26" s="135"/>
      <c r="H26" s="135"/>
      <c r="I26" s="135"/>
      <c r="J26" s="22"/>
      <c r="K26" s="22"/>
      <c r="L26" s="22"/>
      <c r="M26" s="22"/>
      <c r="N26" s="2"/>
      <c r="O26" s="29"/>
      <c r="P26" s="511"/>
      <c r="Q26" s="284"/>
      <c r="T26" s="113"/>
      <c r="U26" s="511"/>
      <c r="V26" s="113"/>
      <c r="W26" s="113"/>
      <c r="X26" s="113"/>
      <c r="Y26" s="113"/>
    </row>
    <row r="27" spans="1:25" s="15" customFormat="1" ht="16.5" customHeight="1" thickBot="1">
      <c r="A27" s="13"/>
      <c r="B27" s="521"/>
      <c r="C27" s="23"/>
      <c r="D27" s="866">
        <f>IF(D28+L37&lt;=5,D28+L37,5)</f>
        <v>3</v>
      </c>
      <c r="E27" s="23"/>
      <c r="F27" s="22"/>
      <c r="I27" s="22"/>
      <c r="J27" s="22"/>
      <c r="K27" s="22"/>
      <c r="L27" s="148" t="s">
        <v>2</v>
      </c>
      <c r="M27" s="38">
        <f>重み!M83</f>
        <v>0</v>
      </c>
      <c r="N27" s="13"/>
      <c r="O27" s="29">
        <f>C27</f>
        <v>0</v>
      </c>
      <c r="P27" s="29" t="str">
        <f>D26</f>
        <v>1.1.2</v>
      </c>
      <c r="Q27" s="29">
        <f t="shared" ref="Q27:W27" si="1">E27</f>
        <v>0</v>
      </c>
      <c r="R27" s="29">
        <f t="shared" si="1"/>
        <v>0</v>
      </c>
      <c r="S27" s="29" t="str">
        <f>L27</f>
        <v>重み係数＝</v>
      </c>
      <c r="T27" s="29">
        <f>M27</f>
        <v>0</v>
      </c>
      <c r="U27" s="29">
        <f t="shared" si="1"/>
        <v>0</v>
      </c>
      <c r="V27" s="29">
        <f t="shared" si="1"/>
        <v>0</v>
      </c>
      <c r="W27" s="29">
        <f t="shared" si="1"/>
        <v>0</v>
      </c>
      <c r="X27" s="29" t="e">
        <f>#REF!</f>
        <v>#REF!</v>
      </c>
      <c r="Y27" s="29" t="e">
        <f>#REF!</f>
        <v>#REF!</v>
      </c>
    </row>
    <row r="28" spans="1:25" ht="16.5" customHeight="1" thickBot="1">
      <c r="A28" s="2"/>
      <c r="B28" s="521"/>
      <c r="C28" s="24"/>
      <c r="D28" s="864">
        <v>3</v>
      </c>
      <c r="E28" s="2934" t="s">
        <v>415</v>
      </c>
      <c r="F28" s="2935"/>
      <c r="G28" s="2935"/>
      <c r="H28" s="2935"/>
      <c r="I28" s="2935"/>
      <c r="J28" s="2935"/>
      <c r="K28" s="2935"/>
      <c r="L28" s="2935"/>
      <c r="M28" s="2936"/>
      <c r="N28" s="13"/>
      <c r="O28" s="121"/>
      <c r="P28" s="29"/>
      <c r="Q28" s="121"/>
      <c r="R28" s="29"/>
      <c r="S28" s="29"/>
      <c r="T28" s="29"/>
      <c r="U28" s="29"/>
      <c r="V28" s="29"/>
      <c r="W28" s="29"/>
      <c r="X28" s="29"/>
      <c r="Y28" s="29"/>
    </row>
    <row r="29" spans="1:25" ht="16.5" customHeight="1">
      <c r="A29" s="2"/>
      <c r="B29" s="521"/>
      <c r="C29" s="24"/>
      <c r="D29" s="25" t="str">
        <f>IF(D28=$Q$18,$R$13,IF(ROUNDDOWN(D28,0)=$Q$13,$S$13,$R$13))</f>
        <v>　レベル　1</v>
      </c>
      <c r="E29" s="438" t="s">
        <v>409</v>
      </c>
      <c r="F29" s="487"/>
      <c r="G29" s="487"/>
      <c r="H29" s="487"/>
      <c r="I29" s="487"/>
      <c r="J29" s="487"/>
      <c r="K29" s="487"/>
      <c r="L29" s="487"/>
      <c r="M29" s="488"/>
      <c r="N29" s="13"/>
      <c r="O29" s="121"/>
      <c r="P29" s="491" t="s">
        <v>68</v>
      </c>
      <c r="Q29" s="121"/>
      <c r="S29" s="29"/>
      <c r="T29" s="29"/>
      <c r="U29" s="491">
        <f>$Q$13</f>
        <v>1</v>
      </c>
      <c r="X29" s="29"/>
      <c r="Y29" s="29"/>
    </row>
    <row r="30" spans="1:25" ht="16.5" customHeight="1">
      <c r="A30" s="2"/>
      <c r="B30" s="521"/>
      <c r="C30" s="24"/>
      <c r="D30" s="28" t="str">
        <f>IF(D28=$Q$18,$R$14,IF(ROUNDDOWN(D28,0)=$Q$14,$S$14,$R$14))</f>
        <v>　レベル　2</v>
      </c>
      <c r="E30" s="439" t="s">
        <v>409</v>
      </c>
      <c r="F30" s="489"/>
      <c r="G30" s="489"/>
      <c r="H30" s="489"/>
      <c r="I30" s="489"/>
      <c r="J30" s="489"/>
      <c r="K30" s="489"/>
      <c r="L30" s="489"/>
      <c r="M30" s="490"/>
      <c r="N30" s="13"/>
      <c r="O30" s="121"/>
      <c r="P30" s="491" t="s">
        <v>848</v>
      </c>
      <c r="Q30" s="121"/>
      <c r="S30" s="29"/>
      <c r="T30" s="29"/>
      <c r="U30" s="491">
        <f>$Q$14</f>
        <v>2</v>
      </c>
      <c r="X30" s="29"/>
      <c r="Y30" s="29"/>
    </row>
    <row r="31" spans="1:25" ht="16.5" customHeight="1">
      <c r="A31" s="2"/>
      <c r="B31" s="521"/>
      <c r="C31" s="24"/>
      <c r="D31" s="28" t="str">
        <f>IF(D28=$Q$18,$R$15,IF(ROUNDDOWN(D28,0)=$Q$15,$S$15,$R$15))</f>
        <v>■レベル　3</v>
      </c>
      <c r="E31" s="439" t="s">
        <v>339</v>
      </c>
      <c r="F31" s="489"/>
      <c r="G31" s="489"/>
      <c r="H31" s="489"/>
      <c r="I31" s="489"/>
      <c r="J31" s="489"/>
      <c r="K31" s="489"/>
      <c r="L31" s="489"/>
      <c r="M31" s="490"/>
      <c r="N31" s="13"/>
      <c r="O31" s="121"/>
      <c r="P31" s="491">
        <f>$Q$15</f>
        <v>3</v>
      </c>
      <c r="Q31" s="121"/>
      <c r="S31" s="29"/>
      <c r="T31" s="29"/>
      <c r="U31" s="491">
        <f>$Q$15</f>
        <v>3</v>
      </c>
      <c r="X31" s="29"/>
      <c r="Y31" s="29"/>
    </row>
    <row r="32" spans="1:25" ht="16.5" customHeight="1">
      <c r="A32" s="2"/>
      <c r="B32" s="521"/>
      <c r="C32" s="24"/>
      <c r="D32" s="28" t="str">
        <f>IF(D28=$Q$18,$R$16,IF(ROUNDDOWN(D28,0)=$Q$16,$S$16,$R$16))</f>
        <v>　レベル　4</v>
      </c>
      <c r="E32" s="451" t="s">
        <v>340</v>
      </c>
      <c r="F32" s="2630"/>
      <c r="G32" s="2630"/>
      <c r="H32" s="2630"/>
      <c r="I32" s="2630"/>
      <c r="J32" s="2630"/>
      <c r="K32" s="2630"/>
      <c r="L32" s="2630"/>
      <c r="M32" s="2631"/>
      <c r="N32" s="13"/>
      <c r="O32" s="121"/>
      <c r="P32" s="491">
        <f>$Q$16</f>
        <v>4</v>
      </c>
      <c r="Q32" s="121"/>
      <c r="S32" s="29"/>
      <c r="T32" s="29"/>
      <c r="U32" s="491">
        <f>$Q$16</f>
        <v>4</v>
      </c>
      <c r="X32" s="29"/>
      <c r="Y32" s="29"/>
    </row>
    <row r="33" spans="1:25" ht="16.5" customHeight="1">
      <c r="A33" s="2"/>
      <c r="B33" s="521"/>
      <c r="C33" s="24"/>
      <c r="D33" s="26" t="str">
        <f>IF(D28=$Q$18,$R$17,IF(ROUNDDOWN(D28,0)=$Q$17,$S$17,$R$17))</f>
        <v>　レベル　5</v>
      </c>
      <c r="E33" s="473" t="s">
        <v>341</v>
      </c>
      <c r="F33" s="2632"/>
      <c r="G33" s="2632"/>
      <c r="H33" s="2632"/>
      <c r="I33" s="2632"/>
      <c r="J33" s="2632"/>
      <c r="K33" s="2632"/>
      <c r="L33" s="2632"/>
      <c r="M33" s="2633"/>
      <c r="N33" s="2"/>
      <c r="O33" s="121"/>
      <c r="P33" s="491">
        <f>$Q$17</f>
        <v>5</v>
      </c>
      <c r="Q33" s="121"/>
      <c r="S33" s="29"/>
      <c r="T33" s="29"/>
      <c r="U33" s="491">
        <f>$Q$17</f>
        <v>5</v>
      </c>
      <c r="X33" s="29"/>
      <c r="Y33" s="29"/>
    </row>
    <row r="34" spans="1:25" ht="16.5" customHeight="1" thickBot="1">
      <c r="A34" s="2"/>
      <c r="B34" s="521"/>
      <c r="C34" s="24"/>
      <c r="D34" s="24"/>
      <c r="E34" s="874" t="s">
        <v>376</v>
      </c>
      <c r="F34" s="135"/>
      <c r="G34" s="135"/>
      <c r="H34" s="135"/>
      <c r="I34" s="135"/>
      <c r="J34" s="22"/>
      <c r="K34" s="22"/>
      <c r="L34" s="22"/>
      <c r="M34" s="22"/>
      <c r="N34" s="2"/>
      <c r="O34" s="29"/>
      <c r="P34" s="491" t="s">
        <v>68</v>
      </c>
      <c r="Q34" s="284" t="s">
        <v>87</v>
      </c>
      <c r="T34" s="113"/>
      <c r="U34" s="491" t="str">
        <f>$Q$18</f>
        <v>対象外</v>
      </c>
      <c r="V34" s="113"/>
      <c r="W34" s="113"/>
      <c r="X34" s="113"/>
      <c r="Y34" s="113"/>
    </row>
    <row r="35" spans="1:25" ht="16.2" thickBot="1">
      <c r="A35" s="2"/>
      <c r="B35" s="137"/>
      <c r="C35" s="27"/>
      <c r="D35" s="30"/>
      <c r="E35" s="808"/>
      <c r="F35" s="807" t="s">
        <v>664</v>
      </c>
      <c r="G35" s="458"/>
      <c r="H35" s="458"/>
      <c r="I35" s="458"/>
      <c r="J35" s="458"/>
      <c r="K35" s="458"/>
      <c r="L35" s="458"/>
      <c r="M35" s="446"/>
      <c r="N35" s="2"/>
      <c r="P35" s="511"/>
      <c r="T35" s="499"/>
      <c r="U35" s="511"/>
    </row>
    <row r="36" spans="1:25" ht="15.6" hidden="1">
      <c r="A36" s="2"/>
      <c r="B36" s="137"/>
      <c r="C36" s="27"/>
      <c r="D36" s="30"/>
      <c r="E36" s="651"/>
      <c r="F36" s="118"/>
      <c r="G36" s="444"/>
      <c r="H36" s="444"/>
      <c r="I36" s="444"/>
      <c r="J36" s="444"/>
      <c r="K36" s="444"/>
      <c r="L36" s="444"/>
      <c r="M36" s="443"/>
      <c r="N36" s="2"/>
      <c r="P36" s="511"/>
      <c r="T36" s="499"/>
      <c r="U36" s="511"/>
    </row>
    <row r="37" spans="1:25" ht="15.6">
      <c r="A37" s="2"/>
      <c r="B37" s="137"/>
      <c r="C37" s="27"/>
      <c r="D37" s="30"/>
      <c r="E37" s="661"/>
      <c r="F37" s="444"/>
      <c r="G37" s="444"/>
      <c r="H37" s="444"/>
      <c r="I37" s="444"/>
      <c r="J37" s="444"/>
      <c r="K37" s="444" t="s">
        <v>400</v>
      </c>
      <c r="L37" s="873">
        <f>IF(E35="過半",2)+IF(E35="一部",1)</f>
        <v>0</v>
      </c>
      <c r="M37" s="443" t="s">
        <v>401</v>
      </c>
      <c r="N37" s="2"/>
      <c r="O37"/>
      <c r="P37"/>
      <c r="Q37"/>
      <c r="T37" s="499"/>
      <c r="U37" s="511"/>
    </row>
    <row r="38" spans="1:25" s="29" customFormat="1" ht="8.25" customHeight="1">
      <c r="A38" s="19"/>
      <c r="B38" s="137"/>
      <c r="C38" s="504"/>
      <c r="D38" s="270"/>
      <c r="E38" s="270"/>
      <c r="F38" s="2"/>
      <c r="G38" s="2"/>
      <c r="H38" s="2"/>
      <c r="I38" s="2"/>
      <c r="J38" s="2"/>
      <c r="K38" s="2"/>
      <c r="L38" s="2"/>
      <c r="M38" s="2"/>
      <c r="N38" s="22"/>
      <c r="O38"/>
      <c r="P38"/>
      <c r="Q38"/>
      <c r="R38" s="4"/>
      <c r="S38" s="4"/>
      <c r="T38" s="113"/>
    </row>
    <row r="39" spans="1:25" s="29" customFormat="1" ht="21" customHeight="1">
      <c r="A39" s="19"/>
      <c r="B39" s="137"/>
      <c r="C39" s="504"/>
      <c r="E39" s="646" t="s">
        <v>3</v>
      </c>
      <c r="F39" s="647"/>
      <c r="G39" s="2441"/>
      <c r="H39" s="2442"/>
      <c r="I39" s="990"/>
      <c r="J39" s="990"/>
      <c r="K39" s="990"/>
      <c r="L39" s="990"/>
      <c r="M39" s="991"/>
      <c r="N39" s="22"/>
      <c r="O39"/>
      <c r="P39"/>
      <c r="Q39"/>
      <c r="R39" s="4"/>
      <c r="S39" s="4"/>
      <c r="T39" s="113"/>
      <c r="U39" s="511"/>
      <c r="V39" s="113"/>
      <c r="W39" s="113"/>
      <c r="X39" s="113"/>
      <c r="Y39" s="113"/>
    </row>
    <row r="40" spans="1:25" ht="14.25" customHeight="1">
      <c r="A40" s="2"/>
      <c r="B40" s="521"/>
      <c r="C40" s="24"/>
      <c r="D40" s="24"/>
      <c r="E40" s="136"/>
      <c r="F40" s="135"/>
      <c r="G40" s="135"/>
      <c r="H40" s="135"/>
      <c r="I40" s="135"/>
      <c r="J40" s="22"/>
      <c r="K40" s="22"/>
      <c r="L40" s="22"/>
      <c r="M40" s="22"/>
      <c r="N40" s="2"/>
      <c r="O40" s="121"/>
      <c r="P40" s="511"/>
      <c r="Q40" s="121"/>
      <c r="S40" s="29"/>
      <c r="T40" s="29"/>
      <c r="U40" s="511"/>
      <c r="X40" s="29"/>
    </row>
    <row r="41" spans="1:25" s="15" customFormat="1" ht="13.5" customHeight="1" thickBot="1">
      <c r="A41" s="13"/>
      <c r="B41" s="521"/>
      <c r="C41" s="23"/>
      <c r="D41" s="402" t="s">
        <v>2083</v>
      </c>
      <c r="E41" s="24" t="str">
        <f>重み!C84</f>
        <v>コンクリート系住宅</v>
      </c>
      <c r="F41" s="22"/>
      <c r="I41" s="22"/>
      <c r="J41" s="22"/>
      <c r="K41" s="22"/>
      <c r="L41" s="148" t="s">
        <v>2</v>
      </c>
      <c r="M41" s="38">
        <f>重み!M84</f>
        <v>0</v>
      </c>
      <c r="N41" s="13"/>
      <c r="O41" s="29">
        <f>C41</f>
        <v>0</v>
      </c>
      <c r="P41" s="29" t="str">
        <f>D41</f>
        <v>1.1.3</v>
      </c>
      <c r="Q41" s="29" t="str">
        <f>E41</f>
        <v>コンクリート系住宅</v>
      </c>
      <c r="R41" s="29">
        <f>F41</f>
        <v>0</v>
      </c>
      <c r="S41" s="29" t="str">
        <f>L41</f>
        <v>重み係数＝</v>
      </c>
      <c r="T41" s="29">
        <f>M41</f>
        <v>0</v>
      </c>
      <c r="U41" s="29">
        <f>I41</f>
        <v>0</v>
      </c>
      <c r="V41" s="29">
        <f>J41</f>
        <v>0</v>
      </c>
      <c r="W41" s="29">
        <f>K41</f>
        <v>0</v>
      </c>
      <c r="X41" s="29" t="e">
        <f>#REF!</f>
        <v>#REF!</v>
      </c>
      <c r="Y41" s="113">
        <f>メイン!O57</f>
        <v>0</v>
      </c>
    </row>
    <row r="42" spans="1:25" ht="15" thickBot="1">
      <c r="A42" s="2"/>
      <c r="B42" s="521"/>
      <c r="C42" s="24"/>
      <c r="D42" s="865">
        <f>ROUND(IF(F52=0,3,IF(F52&lt;=1,4,5)),0)</f>
        <v>3</v>
      </c>
      <c r="E42" s="2934" t="s">
        <v>415</v>
      </c>
      <c r="F42" s="2935"/>
      <c r="G42" s="2935"/>
      <c r="H42" s="2935"/>
      <c r="I42" s="2935"/>
      <c r="J42" s="2935"/>
      <c r="K42" s="2935"/>
      <c r="L42" s="2935"/>
      <c r="M42" s="2936"/>
      <c r="N42" s="13"/>
      <c r="O42" s="121"/>
      <c r="P42" s="29"/>
      <c r="Q42" s="121"/>
      <c r="R42" s="29"/>
      <c r="S42" s="29"/>
      <c r="T42" s="29"/>
      <c r="U42" s="29"/>
      <c r="V42" s="29"/>
      <c r="W42" s="29"/>
      <c r="X42" s="29"/>
      <c r="Y42" s="113">
        <f>M42</f>
        <v>0</v>
      </c>
    </row>
    <row r="43" spans="1:25" ht="14.25" customHeight="1">
      <c r="A43" s="2"/>
      <c r="B43" s="521"/>
      <c r="C43" s="24"/>
      <c r="D43" s="25" t="str">
        <f>IF(D42=$Q$18,$R$13,IF(ROUNDDOWN(D42,0)=$Q$13,$S$13,$R$13))</f>
        <v>　レベル　1</v>
      </c>
      <c r="E43" s="438" t="s">
        <v>409</v>
      </c>
      <c r="F43" s="487"/>
      <c r="G43" s="487"/>
      <c r="H43" s="487"/>
      <c r="I43" s="487"/>
      <c r="J43" s="487"/>
      <c r="K43" s="487"/>
      <c r="L43" s="487"/>
      <c r="M43" s="488"/>
      <c r="N43" s="13"/>
      <c r="O43" s="121"/>
      <c r="P43" s="491" t="s">
        <v>55</v>
      </c>
      <c r="Q43" s="121"/>
      <c r="S43" s="29"/>
      <c r="T43" s="29"/>
      <c r="U43" s="491">
        <f>$Q$13</f>
        <v>1</v>
      </c>
      <c r="X43" s="29"/>
      <c r="Y43" s="113"/>
    </row>
    <row r="44" spans="1:25" ht="14.25" customHeight="1">
      <c r="A44" s="2"/>
      <c r="B44" s="521"/>
      <c r="C44" s="24"/>
      <c r="D44" s="28" t="str">
        <f>IF(D42=$Q$18,$R$14,IF(ROUNDDOWN(D42,0)=$Q$14,$S$14,$R$14))</f>
        <v>　レベル　2</v>
      </c>
      <c r="E44" s="439" t="s">
        <v>409</v>
      </c>
      <c r="F44" s="489"/>
      <c r="G44" s="489"/>
      <c r="H44" s="489"/>
      <c r="I44" s="489"/>
      <c r="J44" s="489"/>
      <c r="K44" s="489"/>
      <c r="L44" s="489"/>
      <c r="M44" s="490"/>
      <c r="N44" s="13"/>
      <c r="O44" s="121"/>
      <c r="P44" s="491" t="s">
        <v>55</v>
      </c>
      <c r="Q44" s="121"/>
      <c r="S44" s="29"/>
      <c r="T44" s="29"/>
      <c r="U44" s="491">
        <f>$Q$14</f>
        <v>2</v>
      </c>
      <c r="X44" s="29"/>
      <c r="Y44" s="113"/>
    </row>
    <row r="45" spans="1:25" ht="14.25" customHeight="1">
      <c r="A45" s="2"/>
      <c r="B45" s="521"/>
      <c r="C45" s="24"/>
      <c r="D45" s="28" t="str">
        <f>IF(D42=$Q$18,$R$15,IF(ROUNDDOWN(D42,0)=$Q$15,$S$15,$R$15))</f>
        <v>■レベル　3</v>
      </c>
      <c r="E45" s="439" t="s">
        <v>251</v>
      </c>
      <c r="F45" s="489"/>
      <c r="G45" s="489"/>
      <c r="H45" s="489"/>
      <c r="I45" s="489"/>
      <c r="J45" s="489"/>
      <c r="K45" s="489"/>
      <c r="L45" s="489"/>
      <c r="M45" s="490"/>
      <c r="N45" s="13"/>
      <c r="O45" s="121"/>
      <c r="P45" s="491">
        <f>$Q$15</f>
        <v>3</v>
      </c>
      <c r="Q45" s="121"/>
      <c r="S45" s="29"/>
      <c r="T45" s="29"/>
      <c r="U45" s="491">
        <f>$Q$15</f>
        <v>3</v>
      </c>
      <c r="X45" s="29"/>
      <c r="Y45" s="113"/>
    </row>
    <row r="46" spans="1:25" ht="14.25" customHeight="1">
      <c r="A46" s="2"/>
      <c r="B46" s="521"/>
      <c r="C46" s="24"/>
      <c r="D46" s="28" t="str">
        <f>IF(D42=$Q$18,$R$16,IF(ROUNDDOWN(D42,0)=$Q$16,$S$16,$R$16))</f>
        <v>　レベル　4</v>
      </c>
      <c r="E46" s="451" t="s">
        <v>252</v>
      </c>
      <c r="F46" s="2630"/>
      <c r="G46" s="2630"/>
      <c r="H46" s="2630"/>
      <c r="I46" s="2630"/>
      <c r="J46" s="2630"/>
      <c r="K46" s="2630"/>
      <c r="L46" s="2630"/>
      <c r="M46" s="2631"/>
      <c r="N46" s="13"/>
      <c r="O46" s="121"/>
      <c r="P46" s="491">
        <f>$Q$16</f>
        <v>4</v>
      </c>
      <c r="Q46" s="121"/>
      <c r="S46" s="29"/>
      <c r="T46" s="29"/>
      <c r="U46" s="491">
        <f>$Q$16</f>
        <v>4</v>
      </c>
      <c r="X46" s="29"/>
      <c r="Y46" s="113"/>
    </row>
    <row r="47" spans="1:25" ht="14.25" customHeight="1">
      <c r="A47" s="2"/>
      <c r="B47" s="521"/>
      <c r="C47" s="24"/>
      <c r="D47" s="26" t="str">
        <f>IF(D42=$Q$18,$R$17,IF(ROUNDDOWN(D42,0)=$Q$17,$S$17,$R$17))</f>
        <v>　レベル　5</v>
      </c>
      <c r="E47" s="473" t="s">
        <v>253</v>
      </c>
      <c r="F47" s="2632"/>
      <c r="G47" s="2632"/>
      <c r="H47" s="2632"/>
      <c r="I47" s="2632"/>
      <c r="J47" s="2632"/>
      <c r="K47" s="2632"/>
      <c r="L47" s="2632"/>
      <c r="M47" s="2633"/>
      <c r="N47" s="2"/>
      <c r="O47" s="121"/>
      <c r="P47" s="491">
        <f>$Q$17</f>
        <v>5</v>
      </c>
      <c r="Q47" s="121"/>
      <c r="S47" s="29"/>
      <c r="T47" s="29"/>
      <c r="U47" s="491">
        <f>$Q$17</f>
        <v>5</v>
      </c>
      <c r="X47" s="29"/>
      <c r="Y47" s="113"/>
    </row>
    <row r="48" spans="1:25" ht="16.5" customHeight="1">
      <c r="A48" s="2"/>
      <c r="B48" s="521"/>
      <c r="C48" s="24"/>
      <c r="D48" s="24"/>
      <c r="E48" s="127" t="s">
        <v>35</v>
      </c>
      <c r="F48" s="19"/>
      <c r="G48" s="126"/>
      <c r="H48" s="32"/>
      <c r="I48" s="32"/>
      <c r="J48" s="19"/>
      <c r="K48" s="19"/>
      <c r="L48" s="19"/>
      <c r="M48" s="19"/>
      <c r="N48" s="2"/>
      <c r="O48" s="121"/>
      <c r="P48" s="491" t="s">
        <v>55</v>
      </c>
      <c r="Q48" s="284" t="s">
        <v>87</v>
      </c>
      <c r="S48" s="29"/>
      <c r="T48" s="29"/>
      <c r="U48" s="491" t="str">
        <f>$Q$18</f>
        <v>対象外</v>
      </c>
      <c r="X48" s="29"/>
      <c r="Y48" s="113"/>
    </row>
    <row r="49" spans="1:25" ht="16.5" customHeight="1" thickBot="1">
      <c r="A49" s="2"/>
      <c r="B49" s="521"/>
      <c r="C49" s="24"/>
      <c r="D49" s="24"/>
      <c r="E49" s="119" t="s">
        <v>351</v>
      </c>
      <c r="F49" s="428" t="s">
        <v>78</v>
      </c>
      <c r="G49" s="461" t="s">
        <v>80</v>
      </c>
      <c r="H49" s="462"/>
      <c r="I49" s="462"/>
      <c r="J49" s="462"/>
      <c r="K49" s="462"/>
      <c r="L49" s="462"/>
      <c r="M49" s="463"/>
      <c r="N49" s="2"/>
      <c r="O49" s="113"/>
      <c r="P49" s="335"/>
      <c r="Q49" s="335"/>
      <c r="R49" s="335"/>
      <c r="S49" s="335"/>
      <c r="T49" s="335"/>
      <c r="U49" s="335"/>
      <c r="V49" s="113"/>
      <c r="W49" s="113"/>
      <c r="X49" s="113"/>
      <c r="Y49" s="113"/>
    </row>
    <row r="50" spans="1:25" ht="24" customHeight="1">
      <c r="A50" s="2"/>
      <c r="B50" s="521"/>
      <c r="C50" s="24"/>
      <c r="D50" s="24"/>
      <c r="E50" s="330"/>
      <c r="F50" s="429">
        <v>1</v>
      </c>
      <c r="G50" s="2937" t="s">
        <v>847</v>
      </c>
      <c r="H50" s="2938"/>
      <c r="I50" s="2938"/>
      <c r="J50" s="2938"/>
      <c r="K50" s="2938"/>
      <c r="L50" s="2938"/>
      <c r="M50" s="2939"/>
      <c r="N50" s="2"/>
      <c r="O50" s="113"/>
      <c r="P50" s="335"/>
      <c r="Q50" s="335"/>
      <c r="R50" s="335"/>
      <c r="S50" s="335"/>
      <c r="T50" s="335"/>
      <c r="U50" s="335"/>
      <c r="V50" s="113"/>
      <c r="W50" s="113"/>
      <c r="X50" s="113"/>
      <c r="Y50" s="113"/>
    </row>
    <row r="51" spans="1:25" ht="24" customHeight="1" thickBot="1">
      <c r="A51" s="2"/>
      <c r="B51" s="521"/>
      <c r="C51" s="24"/>
      <c r="D51" s="24"/>
      <c r="E51" s="331"/>
      <c r="F51" s="466">
        <v>2</v>
      </c>
      <c r="G51" s="2963" t="s">
        <v>324</v>
      </c>
      <c r="H51" s="2964"/>
      <c r="I51" s="2964"/>
      <c r="J51" s="2964"/>
      <c r="K51" s="2964"/>
      <c r="L51" s="2964"/>
      <c r="M51" s="2965"/>
      <c r="N51" s="2"/>
      <c r="O51" s="113"/>
      <c r="P51" s="335"/>
      <c r="Q51" s="335"/>
      <c r="R51" s="335"/>
      <c r="S51" s="335"/>
      <c r="T51" s="335"/>
      <c r="U51" s="335"/>
      <c r="V51" s="113"/>
      <c r="W51" s="113"/>
      <c r="X51" s="113"/>
      <c r="Y51" s="113"/>
    </row>
    <row r="52" spans="1:25" ht="16.5" customHeight="1">
      <c r="A52" s="2"/>
      <c r="B52" s="332"/>
      <c r="C52" s="505"/>
      <c r="D52" s="505"/>
      <c r="E52" s="497" t="s">
        <v>483</v>
      </c>
      <c r="F52" s="838">
        <f>COUNTIF(E50:E51,"○")</f>
        <v>0</v>
      </c>
      <c r="G52" s="840"/>
      <c r="H52" s="840"/>
      <c r="I52" s="325"/>
      <c r="J52" s="326"/>
      <c r="K52" s="325"/>
      <c r="L52" s="326"/>
      <c r="M52" s="327"/>
      <c r="N52" s="2"/>
      <c r="O52" s="113"/>
      <c r="P52" s="335"/>
      <c r="Q52" s="335"/>
      <c r="R52" s="335"/>
      <c r="S52" s="335"/>
      <c r="T52" s="335"/>
      <c r="U52" s="335"/>
      <c r="V52" s="113"/>
      <c r="W52" s="113"/>
      <c r="X52" s="113"/>
      <c r="Y52" s="113"/>
    </row>
    <row r="53" spans="1:25" s="29" customFormat="1" ht="8.25" customHeight="1">
      <c r="A53" s="19"/>
      <c r="B53" s="137"/>
      <c r="C53" s="504"/>
      <c r="D53" s="270"/>
      <c r="E53" s="270"/>
      <c r="F53" s="2"/>
      <c r="G53" s="2"/>
      <c r="H53" s="2"/>
      <c r="I53" s="2"/>
      <c r="J53" s="2"/>
      <c r="K53" s="2"/>
      <c r="L53" s="2"/>
      <c r="M53" s="2"/>
      <c r="N53" s="22"/>
      <c r="P53"/>
      <c r="Q53"/>
      <c r="R53" s="4"/>
      <c r="S53" s="4"/>
      <c r="T53" s="113"/>
    </row>
    <row r="54" spans="1:25" s="29" customFormat="1" ht="21" customHeight="1">
      <c r="A54" s="19"/>
      <c r="B54" s="137"/>
      <c r="C54" s="504"/>
      <c r="E54" s="646" t="s">
        <v>3</v>
      </c>
      <c r="F54" s="647"/>
      <c r="G54" s="2441"/>
      <c r="H54" s="2442"/>
      <c r="I54" s="990"/>
      <c r="J54" s="990"/>
      <c r="K54" s="990"/>
      <c r="L54" s="990"/>
      <c r="M54" s="991"/>
      <c r="N54" s="22"/>
      <c r="P54" s="511"/>
      <c r="Q54" s="284"/>
      <c r="R54" s="4"/>
      <c r="S54" s="4"/>
      <c r="T54" s="113"/>
      <c r="U54" s="511"/>
      <c r="V54" s="113"/>
      <c r="W54" s="113"/>
      <c r="X54" s="113"/>
      <c r="Y54" s="113"/>
    </row>
    <row r="55" spans="1:25" ht="14.25" customHeight="1">
      <c r="A55" s="2"/>
      <c r="B55" s="521"/>
      <c r="C55" s="24"/>
      <c r="D55" s="24"/>
      <c r="E55" s="24"/>
      <c r="F55" s="24"/>
      <c r="G55" s="24"/>
      <c r="H55" s="24"/>
      <c r="I55" s="24"/>
      <c r="J55" s="24"/>
      <c r="K55" s="24"/>
      <c r="L55" s="24"/>
      <c r="M55" s="24"/>
      <c r="N55" s="2"/>
      <c r="O55" s="113"/>
      <c r="P55" s="335"/>
      <c r="Q55" s="335"/>
      <c r="R55" s="335"/>
      <c r="S55" s="335"/>
      <c r="T55" s="335"/>
      <c r="U55" s="335"/>
      <c r="V55" s="113"/>
      <c r="W55" s="113"/>
      <c r="X55" s="113"/>
      <c r="Y55" s="113"/>
    </row>
    <row r="56" spans="1:25" s="15" customFormat="1" ht="14.25" customHeight="1">
      <c r="A56" s="13"/>
      <c r="B56" s="513">
        <v>1.2</v>
      </c>
      <c r="C56" s="23" t="s">
        <v>541</v>
      </c>
      <c r="D56" s="23"/>
      <c r="E56" s="22"/>
      <c r="F56" s="271"/>
      <c r="G56" s="22"/>
      <c r="H56" s="22"/>
      <c r="I56" s="22"/>
      <c r="J56" s="271"/>
      <c r="K56" s="22"/>
      <c r="L56" s="22"/>
      <c r="M56" s="22"/>
      <c r="N56" s="13"/>
      <c r="O56" s="113"/>
      <c r="V56" s="113"/>
      <c r="W56" s="113"/>
      <c r="X56" s="113"/>
      <c r="Y56" s="113"/>
    </row>
    <row r="57" spans="1:25" ht="16.5" customHeight="1" thickBot="1">
      <c r="A57" s="2"/>
      <c r="B57" s="521"/>
      <c r="C57" s="24"/>
      <c r="D57" s="114"/>
      <c r="E57" s="23"/>
      <c r="F57" s="22"/>
      <c r="I57" s="22"/>
      <c r="J57" s="15"/>
      <c r="K57" s="15"/>
      <c r="L57" s="148" t="s">
        <v>2</v>
      </c>
      <c r="M57" s="145">
        <f>重み!M85</f>
        <v>0.2</v>
      </c>
      <c r="N57" s="2"/>
      <c r="O57" s="29">
        <f>C57</f>
        <v>0</v>
      </c>
      <c r="P57" s="29">
        <f>D57</f>
        <v>0</v>
      </c>
      <c r="Q57" s="29">
        <f>E57</f>
        <v>0</v>
      </c>
      <c r="R57" s="29">
        <f>F57</f>
        <v>0</v>
      </c>
      <c r="S57" s="29" t="str">
        <f>L57</f>
        <v>重み係数＝</v>
      </c>
      <c r="T57" s="29">
        <f>M57</f>
        <v>0.2</v>
      </c>
      <c r="U57" s="29">
        <f>I57</f>
        <v>0</v>
      </c>
      <c r="V57" s="29">
        <f>J57</f>
        <v>0</v>
      </c>
      <c r="W57" s="29">
        <f>K57</f>
        <v>0</v>
      </c>
      <c r="X57" s="29" t="e">
        <f>#REF!</f>
        <v>#REF!</v>
      </c>
      <c r="Y57" s="113"/>
    </row>
    <row r="58" spans="1:25" ht="16.5" customHeight="1" thickBot="1">
      <c r="A58" s="2"/>
      <c r="B58" s="521"/>
      <c r="C58" s="24"/>
      <c r="D58" s="865">
        <f>ROUND(IF(F69=0,3,IF(F69&lt;=1,4,5)),0)</f>
        <v>3</v>
      </c>
      <c r="E58" s="2934" t="s">
        <v>415</v>
      </c>
      <c r="F58" s="2935"/>
      <c r="G58" s="2935"/>
      <c r="H58" s="2935"/>
      <c r="I58" s="2935"/>
      <c r="J58" s="2935"/>
      <c r="K58" s="2935"/>
      <c r="L58" s="2935"/>
      <c r="M58" s="2936"/>
      <c r="N58" s="2"/>
      <c r="O58" s="121"/>
      <c r="P58" s="29"/>
      <c r="Q58" s="121"/>
      <c r="R58" s="29"/>
      <c r="S58" s="29"/>
      <c r="T58" s="29"/>
      <c r="U58" s="29"/>
      <c r="V58" s="29"/>
      <c r="W58" s="29"/>
      <c r="X58" s="29"/>
    </row>
    <row r="59" spans="1:25" ht="16.5" customHeight="1">
      <c r="A59" s="2"/>
      <c r="B59" s="521"/>
      <c r="C59" s="24"/>
      <c r="D59" s="25" t="str">
        <f>IF(D58=$Q$18,$R$13,IF(ROUNDDOWN(D58,0)=$Q$13,$S$13,$R$13))</f>
        <v>　レベル　1</v>
      </c>
      <c r="E59" s="438" t="s">
        <v>409</v>
      </c>
      <c r="F59" s="487"/>
      <c r="G59" s="487"/>
      <c r="H59" s="487"/>
      <c r="I59" s="487"/>
      <c r="J59" s="487"/>
      <c r="K59" s="487"/>
      <c r="L59" s="487"/>
      <c r="M59" s="488"/>
      <c r="N59" s="2"/>
      <c r="O59" s="121"/>
      <c r="P59" s="491" t="s">
        <v>55</v>
      </c>
      <c r="Q59" s="121"/>
      <c r="S59" s="29"/>
      <c r="T59" s="29"/>
      <c r="U59" s="491">
        <f>$Q$13</f>
        <v>1</v>
      </c>
      <c r="X59" s="29"/>
    </row>
    <row r="60" spans="1:25" ht="16.5" customHeight="1">
      <c r="A60" s="2"/>
      <c r="B60" s="521"/>
      <c r="C60" s="24"/>
      <c r="D60" s="28" t="str">
        <f>IF(D58=$Q$18,$R$14,IF(ROUNDDOWN(D58,0)=$Q$14,$S$14,$R$14))</f>
        <v>　レベル　2</v>
      </c>
      <c r="E60" s="439" t="s">
        <v>409</v>
      </c>
      <c r="F60" s="489"/>
      <c r="G60" s="489"/>
      <c r="H60" s="489"/>
      <c r="I60" s="489"/>
      <c r="J60" s="489"/>
      <c r="K60" s="489"/>
      <c r="L60" s="489"/>
      <c r="M60" s="490"/>
      <c r="N60" s="2"/>
      <c r="O60" s="121"/>
      <c r="P60" s="491" t="s">
        <v>55</v>
      </c>
      <c r="Q60" s="121"/>
      <c r="S60" s="29"/>
      <c r="T60" s="29"/>
      <c r="U60" s="491">
        <f>$Q$14</f>
        <v>2</v>
      </c>
      <c r="X60" s="29"/>
    </row>
    <row r="61" spans="1:25" ht="16.5" customHeight="1">
      <c r="A61" s="2"/>
      <c r="B61" s="521"/>
      <c r="C61" s="24"/>
      <c r="D61" s="28" t="str">
        <f>IF(D58=$Q$18,$R$15,IF(ROUNDDOWN(D58,0)=$Q$15,$S$15,$R$15))</f>
        <v>■レベル　3</v>
      </c>
      <c r="E61" s="439" t="s">
        <v>254</v>
      </c>
      <c r="F61" s="489"/>
      <c r="G61" s="489"/>
      <c r="H61" s="489"/>
      <c r="I61" s="489"/>
      <c r="J61" s="489"/>
      <c r="K61" s="489"/>
      <c r="L61" s="489"/>
      <c r="M61" s="490"/>
      <c r="N61" s="2"/>
      <c r="O61" s="121"/>
      <c r="P61" s="491">
        <f>$Q$15</f>
        <v>3</v>
      </c>
      <c r="Q61" s="121"/>
      <c r="S61" s="29"/>
      <c r="T61" s="29"/>
      <c r="U61" s="491">
        <f>$Q$15</f>
        <v>3</v>
      </c>
      <c r="X61" s="29"/>
    </row>
    <row r="62" spans="1:25" ht="16.5" customHeight="1">
      <c r="A62" s="2"/>
      <c r="B62" s="521"/>
      <c r="C62" s="24"/>
      <c r="D62" s="28" t="str">
        <f>IF(D58=$Q$18,$R$16,IF(ROUNDDOWN(D58,0)=$Q$16,$S$16,$R$16))</f>
        <v>　レベル　4</v>
      </c>
      <c r="E62" s="451" t="s">
        <v>255</v>
      </c>
      <c r="F62" s="2630"/>
      <c r="G62" s="2630"/>
      <c r="H62" s="2630"/>
      <c r="I62" s="2630"/>
      <c r="J62" s="2630"/>
      <c r="K62" s="2630"/>
      <c r="L62" s="2630"/>
      <c r="M62" s="2631"/>
      <c r="N62" s="2"/>
      <c r="O62" s="121"/>
      <c r="P62" s="491">
        <f>$Q$16</f>
        <v>4</v>
      </c>
      <c r="Q62" s="121"/>
      <c r="S62" s="29"/>
      <c r="T62" s="29"/>
      <c r="U62" s="491">
        <f>$Q$16</f>
        <v>4</v>
      </c>
      <c r="X62" s="29"/>
    </row>
    <row r="63" spans="1:25" ht="16.5" customHeight="1">
      <c r="A63" s="2"/>
      <c r="B63" s="521"/>
      <c r="C63" s="24"/>
      <c r="D63" s="26" t="str">
        <f>IF(D58=$Q$18,$R$17,IF(ROUNDDOWN(D58,0)=$Q$17,$S$17,$R$17))</f>
        <v>　レベル　5</v>
      </c>
      <c r="E63" s="473" t="s">
        <v>256</v>
      </c>
      <c r="F63" s="2632"/>
      <c r="G63" s="2632"/>
      <c r="H63" s="2632"/>
      <c r="I63" s="2632"/>
      <c r="J63" s="2632"/>
      <c r="K63" s="2632"/>
      <c r="L63" s="2632"/>
      <c r="M63" s="2633"/>
      <c r="N63" s="2"/>
      <c r="O63" s="121"/>
      <c r="P63" s="491">
        <f>$Q$17</f>
        <v>5</v>
      </c>
      <c r="Q63" s="121"/>
      <c r="S63" s="29"/>
      <c r="T63" s="29"/>
      <c r="U63" s="491">
        <f>$Q$17</f>
        <v>5</v>
      </c>
      <c r="X63" s="29"/>
    </row>
    <row r="64" spans="1:25" ht="16.5" customHeight="1">
      <c r="A64" s="2"/>
      <c r="B64" s="521"/>
      <c r="C64" s="24"/>
      <c r="D64" s="24"/>
      <c r="E64" s="127" t="s">
        <v>35</v>
      </c>
      <c r="F64" s="19"/>
      <c r="G64" s="126"/>
      <c r="H64" s="32"/>
      <c r="I64" s="32"/>
      <c r="J64" s="19"/>
      <c r="K64" s="19"/>
      <c r="L64" s="19"/>
      <c r="M64" s="19"/>
      <c r="N64" s="2"/>
      <c r="O64" s="121"/>
      <c r="P64" s="491" t="s">
        <v>68</v>
      </c>
      <c r="Q64" s="284" t="s">
        <v>87</v>
      </c>
      <c r="R64" s="121"/>
      <c r="S64" s="121"/>
      <c r="T64" s="121"/>
      <c r="U64" s="491" t="str">
        <f>$Q$18</f>
        <v>対象外</v>
      </c>
      <c r="V64" s="121"/>
      <c r="X64" s="29"/>
    </row>
    <row r="65" spans="1:256" ht="16.5" customHeight="1" thickBot="1">
      <c r="A65" s="2"/>
      <c r="B65" s="521"/>
      <c r="C65" s="24"/>
      <c r="D65" s="24"/>
      <c r="E65" s="119" t="s">
        <v>351</v>
      </c>
      <c r="F65" s="428" t="s">
        <v>78</v>
      </c>
      <c r="G65" s="461" t="s">
        <v>80</v>
      </c>
      <c r="H65" s="462"/>
      <c r="I65" s="462"/>
      <c r="J65" s="462"/>
      <c r="K65" s="462"/>
      <c r="L65" s="462"/>
      <c r="M65" s="463"/>
      <c r="N65" s="2"/>
      <c r="O65" s="121"/>
      <c r="P65" s="121"/>
      <c r="Q65" s="121"/>
      <c r="R65" s="121"/>
      <c r="S65" s="121"/>
      <c r="T65" s="121"/>
      <c r="U65" s="121"/>
      <c r="V65" s="121"/>
      <c r="X65" s="29"/>
    </row>
    <row r="66" spans="1:256" ht="16.5" customHeight="1">
      <c r="A66" s="2"/>
      <c r="B66" s="521"/>
      <c r="C66" s="24"/>
      <c r="D66" s="24"/>
      <c r="E66" s="330"/>
      <c r="F66" s="429">
        <v>1</v>
      </c>
      <c r="G66" s="496" t="s">
        <v>105</v>
      </c>
      <c r="H66" s="481"/>
      <c r="I66" s="481"/>
      <c r="J66" s="481"/>
      <c r="K66" s="481"/>
      <c r="L66" s="481"/>
      <c r="M66" s="445"/>
      <c r="N66" s="2"/>
      <c r="O66" s="121"/>
      <c r="P66" s="121"/>
      <c r="Q66" s="121"/>
      <c r="R66" s="121"/>
      <c r="S66" s="121"/>
      <c r="T66" s="121"/>
      <c r="U66" s="121"/>
      <c r="V66" s="121"/>
      <c r="X66" s="29"/>
    </row>
    <row r="67" spans="1:256" ht="16.5" customHeight="1">
      <c r="A67" s="2"/>
      <c r="B67" s="521"/>
      <c r="C67" s="24"/>
      <c r="D67" s="24"/>
      <c r="E67" s="449"/>
      <c r="F67" s="464">
        <v>2</v>
      </c>
      <c r="G67" s="439" t="s">
        <v>106</v>
      </c>
      <c r="H67" s="450"/>
      <c r="I67" s="450"/>
      <c r="J67" s="450"/>
      <c r="K67" s="450"/>
      <c r="L67" s="450"/>
      <c r="M67" s="454"/>
      <c r="N67" s="2"/>
      <c r="O67" s="121"/>
      <c r="P67" s="121"/>
      <c r="Q67" s="121"/>
      <c r="R67" s="121"/>
      <c r="S67" s="121"/>
      <c r="T67" s="121"/>
      <c r="U67" s="121"/>
      <c r="V67" s="121"/>
      <c r="X67" s="29"/>
    </row>
    <row r="68" spans="1:256" ht="16.5" customHeight="1" thickBot="1">
      <c r="A68" s="2"/>
      <c r="B68" s="521"/>
      <c r="C68" s="24"/>
      <c r="D68" s="24"/>
      <c r="E68" s="479"/>
      <c r="F68" s="466">
        <v>3</v>
      </c>
      <c r="G68" s="440" t="s">
        <v>107</v>
      </c>
      <c r="H68" s="444"/>
      <c r="I68" s="444"/>
      <c r="J68" s="444"/>
      <c r="K68" s="444"/>
      <c r="L68" s="444"/>
      <c r="M68" s="443"/>
      <c r="N68" s="2"/>
      <c r="O68" s="121"/>
      <c r="P68" s="121"/>
      <c r="Q68" s="121"/>
      <c r="R68" s="121"/>
      <c r="S68" s="121"/>
      <c r="T68" s="121"/>
      <c r="U68" s="121"/>
      <c r="V68" s="121"/>
      <c r="X68" s="29"/>
    </row>
    <row r="69" spans="1:256" ht="16.5" customHeight="1">
      <c r="A69" s="2"/>
      <c r="B69" s="332"/>
      <c r="C69" s="505"/>
      <c r="D69" s="505"/>
      <c r="E69" s="497" t="s">
        <v>257</v>
      </c>
      <c r="F69" s="838">
        <f>COUNTIF(E66:E68,"○")</f>
        <v>0</v>
      </c>
      <c r="G69" s="840"/>
      <c r="H69" s="840"/>
      <c r="I69" s="325"/>
      <c r="J69" s="326"/>
      <c r="K69" s="325"/>
      <c r="L69" s="326"/>
      <c r="M69" s="327"/>
      <c r="N69" s="2"/>
      <c r="O69" s="121"/>
      <c r="P69" s="121"/>
      <c r="Q69" s="121"/>
      <c r="R69" s="121"/>
      <c r="S69" s="121"/>
      <c r="T69" s="121"/>
      <c r="U69" s="121"/>
      <c r="V69" s="121"/>
      <c r="X69" s="29"/>
    </row>
    <row r="70" spans="1:256" s="29" customFormat="1" ht="8.25" customHeight="1">
      <c r="A70" s="19"/>
      <c r="B70" s="137"/>
      <c r="C70" s="504"/>
      <c r="D70" s="270"/>
      <c r="E70" s="270"/>
      <c r="F70" s="2"/>
      <c r="G70" s="2"/>
      <c r="H70" s="2"/>
      <c r="I70" s="2"/>
      <c r="J70" s="2"/>
      <c r="K70" s="2"/>
      <c r="L70" s="2"/>
      <c r="M70" s="2"/>
      <c r="N70" s="22"/>
      <c r="P70"/>
      <c r="Q70"/>
      <c r="R70" s="4"/>
      <c r="S70" s="4"/>
      <c r="T70" s="113"/>
    </row>
    <row r="71" spans="1:256" s="29" customFormat="1" ht="21" customHeight="1">
      <c r="A71" s="19"/>
      <c r="B71" s="137"/>
      <c r="C71" s="504"/>
      <c r="E71" s="646" t="s">
        <v>3</v>
      </c>
      <c r="F71" s="647"/>
      <c r="G71" s="2441"/>
      <c r="H71" s="2442"/>
      <c r="I71" s="990"/>
      <c r="J71" s="990"/>
      <c r="K71" s="990"/>
      <c r="L71" s="990"/>
      <c r="M71" s="991"/>
      <c r="N71" s="22"/>
      <c r="P71" s="511"/>
      <c r="Q71" s="284"/>
      <c r="R71" s="4"/>
      <c r="S71" s="4"/>
      <c r="T71" s="113"/>
      <c r="U71" s="511"/>
      <c r="V71" s="113"/>
      <c r="W71" s="113"/>
      <c r="X71" s="113"/>
      <c r="Y71" s="113"/>
    </row>
    <row r="72" spans="1:256" ht="14.25" customHeight="1">
      <c r="A72" s="2"/>
      <c r="B72" s="521"/>
      <c r="C72" s="24"/>
      <c r="D72" s="24"/>
      <c r="E72" s="24"/>
      <c r="F72" s="24"/>
      <c r="G72" s="24"/>
      <c r="H72" s="24"/>
      <c r="I72" s="24"/>
      <c r="J72" s="24"/>
      <c r="K72" s="24"/>
      <c r="L72" s="24"/>
      <c r="M72" s="24"/>
      <c r="N72" s="24"/>
      <c r="O72" s="121"/>
      <c r="P72" s="121"/>
      <c r="Q72" s="121"/>
      <c r="R72" s="121"/>
      <c r="S72" s="121"/>
      <c r="T72" s="121"/>
      <c r="U72" s="121"/>
      <c r="V72" s="121"/>
      <c r="X72" s="29"/>
      <c r="Y72" s="499"/>
      <c r="Z72" s="499"/>
      <c r="AA72" s="499"/>
      <c r="AB72" s="499"/>
      <c r="AC72" s="499"/>
      <c r="AD72" s="499"/>
      <c r="AE72" s="499"/>
      <c r="AF72" s="499"/>
      <c r="AG72" s="499"/>
      <c r="AH72" s="499"/>
      <c r="AI72" s="499"/>
      <c r="AJ72" s="499"/>
      <c r="AK72" s="499"/>
      <c r="AL72" s="499"/>
      <c r="AM72" s="499"/>
      <c r="AN72" s="499"/>
      <c r="AO72" s="499"/>
      <c r="AP72" s="499"/>
      <c r="AQ72" s="499"/>
      <c r="AR72" s="499"/>
      <c r="AS72" s="499"/>
      <c r="AT72" s="499"/>
      <c r="AU72" s="499"/>
      <c r="AV72" s="499"/>
      <c r="AW72" s="499"/>
      <c r="AX72" s="499"/>
      <c r="AY72" s="499"/>
      <c r="AZ72" s="499"/>
      <c r="BA72" s="499"/>
      <c r="BB72" s="499"/>
      <c r="BC72" s="499"/>
      <c r="BD72" s="499"/>
      <c r="BE72" s="499"/>
      <c r="BF72" s="499"/>
      <c r="BG72" s="499"/>
      <c r="BH72" s="499"/>
      <c r="BI72" s="499"/>
      <c r="BJ72" s="499"/>
      <c r="BK72" s="499"/>
      <c r="BL72" s="499"/>
      <c r="BM72" s="499"/>
      <c r="BN72" s="499"/>
      <c r="BO72" s="499"/>
      <c r="BP72" s="499"/>
      <c r="BQ72" s="499"/>
      <c r="BR72" s="499"/>
      <c r="BS72" s="499"/>
      <c r="BT72" s="499"/>
      <c r="BU72" s="499"/>
      <c r="BV72" s="499"/>
      <c r="BW72" s="499"/>
      <c r="BX72" s="499"/>
      <c r="BY72" s="499"/>
      <c r="BZ72" s="499"/>
      <c r="CA72" s="499"/>
      <c r="CB72" s="499"/>
      <c r="CC72" s="499"/>
      <c r="CD72" s="499"/>
      <c r="CE72" s="499"/>
      <c r="CF72" s="499"/>
      <c r="CG72" s="499"/>
      <c r="CH72" s="499"/>
      <c r="CI72" s="499"/>
      <c r="CJ72" s="499"/>
      <c r="CK72" s="499"/>
      <c r="CL72" s="499"/>
      <c r="CM72" s="499"/>
      <c r="CN72" s="499"/>
      <c r="CO72" s="499"/>
      <c r="CP72" s="499"/>
      <c r="CQ72" s="499"/>
      <c r="CR72" s="499"/>
      <c r="CS72" s="499"/>
      <c r="CT72" s="499"/>
      <c r="CU72" s="499"/>
      <c r="CV72" s="499"/>
      <c r="CW72" s="499"/>
      <c r="CX72" s="499"/>
      <c r="CY72" s="499"/>
      <c r="CZ72" s="499"/>
      <c r="DA72" s="499"/>
      <c r="DB72" s="499"/>
      <c r="DC72" s="499"/>
      <c r="DD72" s="499"/>
      <c r="DE72" s="499"/>
      <c r="DF72" s="499"/>
      <c r="DG72" s="499"/>
      <c r="DH72" s="499"/>
      <c r="DI72" s="499"/>
      <c r="DJ72" s="499"/>
      <c r="DK72" s="499"/>
      <c r="DL72" s="499"/>
      <c r="DM72" s="499"/>
      <c r="DN72" s="499"/>
      <c r="DO72" s="499"/>
      <c r="DP72" s="499"/>
      <c r="DQ72" s="499"/>
      <c r="DR72" s="499"/>
      <c r="DS72" s="499"/>
      <c r="DT72" s="499"/>
      <c r="DU72" s="499"/>
      <c r="DV72" s="499"/>
      <c r="DW72" s="499"/>
      <c r="DX72" s="499"/>
      <c r="DY72" s="499"/>
      <c r="DZ72" s="499"/>
      <c r="EA72" s="499"/>
      <c r="EB72" s="499"/>
      <c r="EC72" s="499"/>
      <c r="ED72" s="499"/>
      <c r="EE72" s="499"/>
      <c r="EF72" s="499"/>
      <c r="EG72" s="499"/>
      <c r="EH72" s="499"/>
      <c r="EI72" s="499"/>
      <c r="EJ72" s="499"/>
      <c r="EK72" s="499"/>
      <c r="EL72" s="499"/>
      <c r="EM72" s="499"/>
      <c r="EN72" s="499"/>
      <c r="EO72" s="499"/>
      <c r="EP72" s="499"/>
      <c r="EQ72" s="499"/>
      <c r="ER72" s="499"/>
      <c r="ES72" s="499"/>
      <c r="ET72" s="499"/>
      <c r="EU72" s="499"/>
      <c r="EV72" s="499"/>
      <c r="EW72" s="499"/>
      <c r="EX72" s="499"/>
      <c r="EY72" s="499"/>
      <c r="EZ72" s="499"/>
      <c r="FA72" s="499"/>
      <c r="FB72" s="499"/>
      <c r="FC72" s="499"/>
      <c r="FD72" s="499"/>
      <c r="FE72" s="499"/>
      <c r="FF72" s="499"/>
      <c r="FG72" s="499"/>
      <c r="FH72" s="499"/>
      <c r="FI72" s="499"/>
      <c r="FJ72" s="499"/>
      <c r="FK72" s="499"/>
      <c r="FL72" s="499"/>
      <c r="FM72" s="499"/>
      <c r="FN72" s="499"/>
      <c r="FO72" s="499"/>
      <c r="FP72" s="499"/>
      <c r="FQ72" s="499"/>
      <c r="FR72" s="499"/>
      <c r="FS72" s="499"/>
      <c r="FT72" s="499"/>
      <c r="FU72" s="499"/>
      <c r="FV72" s="499"/>
      <c r="FW72" s="499"/>
      <c r="FX72" s="499"/>
      <c r="FY72" s="499"/>
      <c r="FZ72" s="499"/>
      <c r="GA72" s="499"/>
      <c r="GB72" s="499"/>
      <c r="GC72" s="499"/>
      <c r="GD72" s="499"/>
      <c r="GE72" s="499"/>
      <c r="GF72" s="499"/>
      <c r="GG72" s="499"/>
      <c r="GH72" s="499"/>
      <c r="GI72" s="499"/>
      <c r="GJ72" s="499"/>
      <c r="GK72" s="499"/>
      <c r="GL72" s="499"/>
      <c r="GM72" s="499"/>
      <c r="GN72" s="499"/>
      <c r="GO72" s="499"/>
      <c r="GP72" s="499"/>
      <c r="GQ72" s="499"/>
      <c r="GR72" s="499"/>
      <c r="GS72" s="499"/>
      <c r="GT72" s="499"/>
      <c r="GU72" s="499"/>
      <c r="GV72" s="499"/>
      <c r="GW72" s="499"/>
      <c r="GX72" s="499"/>
      <c r="GY72" s="499"/>
      <c r="GZ72" s="499"/>
      <c r="HA72" s="499"/>
      <c r="HB72" s="499"/>
      <c r="HC72" s="499"/>
      <c r="HD72" s="499"/>
      <c r="HE72" s="499"/>
      <c r="HF72" s="499"/>
      <c r="HG72" s="499"/>
      <c r="HH72" s="499"/>
      <c r="HI72" s="499"/>
      <c r="HJ72" s="499"/>
      <c r="HK72" s="499"/>
      <c r="HL72" s="499"/>
      <c r="HM72" s="499"/>
      <c r="HN72" s="499"/>
      <c r="HO72" s="499"/>
      <c r="HP72" s="499"/>
      <c r="HQ72" s="499"/>
      <c r="HR72" s="499"/>
      <c r="HS72" s="499"/>
      <c r="HT72" s="499"/>
      <c r="HU72" s="499"/>
      <c r="HV72" s="499"/>
      <c r="HW72" s="499"/>
      <c r="HX72" s="499"/>
      <c r="HY72" s="499"/>
      <c r="HZ72" s="499"/>
      <c r="IA72" s="499"/>
      <c r="IB72" s="499"/>
      <c r="IC72" s="499"/>
      <c r="ID72" s="499"/>
      <c r="IE72" s="499"/>
      <c r="IF72" s="499"/>
      <c r="IG72" s="499"/>
      <c r="IH72" s="499"/>
      <c r="II72" s="499"/>
      <c r="IJ72" s="499"/>
      <c r="IK72" s="499"/>
      <c r="IL72" s="499"/>
      <c r="IM72" s="499"/>
      <c r="IN72" s="499"/>
      <c r="IO72" s="499"/>
      <c r="IP72" s="499"/>
      <c r="IQ72" s="499"/>
      <c r="IR72" s="499"/>
      <c r="IS72" s="499"/>
      <c r="IT72" s="499"/>
      <c r="IU72" s="499"/>
      <c r="IV72" s="499"/>
    </row>
    <row r="73" spans="1:256" s="15" customFormat="1" ht="14.25" customHeight="1" thickBot="1">
      <c r="A73" s="13"/>
      <c r="B73" s="513">
        <v>1.3</v>
      </c>
      <c r="C73" s="23" t="s">
        <v>342</v>
      </c>
      <c r="D73" s="23"/>
      <c r="E73" s="22"/>
      <c r="F73" s="271"/>
      <c r="G73" s="22"/>
      <c r="H73" s="22"/>
      <c r="I73" s="24"/>
      <c r="J73" s="24"/>
      <c r="K73" s="24"/>
      <c r="L73" s="24"/>
      <c r="M73" s="24"/>
      <c r="N73" s="13"/>
      <c r="O73" s="113"/>
      <c r="V73" s="113"/>
      <c r="W73" s="113"/>
      <c r="X73" s="113"/>
      <c r="Y73" s="113"/>
    </row>
    <row r="74" spans="1:256" ht="16.5" customHeight="1" thickBot="1">
      <c r="A74" s="2"/>
      <c r="B74" s="521"/>
      <c r="C74" s="24"/>
      <c r="D74" s="866">
        <f>IF(D75+L92&lt;=5,D75+L92,5)</f>
        <v>4</v>
      </c>
      <c r="E74" s="23"/>
      <c r="F74" s="22"/>
      <c r="I74" s="24"/>
      <c r="J74" s="24"/>
      <c r="K74" s="24"/>
      <c r="L74" s="148" t="s">
        <v>2</v>
      </c>
      <c r="M74" s="145">
        <f>重み!M86</f>
        <v>0.2</v>
      </c>
      <c r="N74" s="2"/>
      <c r="O74" s="29">
        <f>C74</f>
        <v>0</v>
      </c>
      <c r="P74" s="29">
        <f>D74</f>
        <v>4</v>
      </c>
      <c r="Q74" s="29">
        <f>E74</f>
        <v>0</v>
      </c>
      <c r="R74" s="29">
        <f>F74</f>
        <v>0</v>
      </c>
      <c r="S74" s="29" t="str">
        <f>L74</f>
        <v>重み係数＝</v>
      </c>
      <c r="T74" s="29">
        <f>M74</f>
        <v>0.2</v>
      </c>
      <c r="U74" s="29">
        <f>I74</f>
        <v>0</v>
      </c>
      <c r="V74" s="29">
        <f>J74</f>
        <v>0</v>
      </c>
      <c r="W74" s="29">
        <f>K74</f>
        <v>0</v>
      </c>
      <c r="X74" s="29" t="e">
        <f>#REF!</f>
        <v>#REF!</v>
      </c>
      <c r="Y74" s="113"/>
    </row>
    <row r="75" spans="1:256" ht="16.5" customHeight="1" thickBot="1">
      <c r="A75" s="2"/>
      <c r="B75" s="521"/>
      <c r="C75" s="24"/>
      <c r="D75" s="864">
        <f>IF(M89&lt;0.4,1,IF(M89&lt;0.6,3,IF(M89&lt;0.8,4,5)))</f>
        <v>4</v>
      </c>
      <c r="E75" s="2934" t="s">
        <v>415</v>
      </c>
      <c r="F75" s="2935"/>
      <c r="G75" s="2935"/>
      <c r="H75" s="2935"/>
      <c r="I75" s="2935"/>
      <c r="J75" s="2935"/>
      <c r="K75" s="2935"/>
      <c r="L75" s="2935"/>
      <c r="M75" s="2936"/>
      <c r="N75" s="2"/>
      <c r="O75" s="121"/>
      <c r="P75" s="29"/>
      <c r="Q75" s="121"/>
      <c r="R75" s="29"/>
      <c r="S75" s="29"/>
      <c r="T75" s="29"/>
      <c r="U75" s="29"/>
      <c r="V75" s="29"/>
      <c r="W75" s="29"/>
      <c r="X75" s="29"/>
    </row>
    <row r="76" spans="1:256" ht="16.5" customHeight="1">
      <c r="A76" s="2"/>
      <c r="B76" s="521"/>
      <c r="C76" s="24"/>
      <c r="D76" s="25" t="str">
        <f>IF(D75=$Q$18,$R$13,IF(ROUNDDOWN(D75,0)=$Q$13,$S$13,$R$13))</f>
        <v>　レベル　1</v>
      </c>
      <c r="E76" s="438" t="s">
        <v>337</v>
      </c>
      <c r="F76" s="487"/>
      <c r="G76" s="487"/>
      <c r="H76" s="487"/>
      <c r="I76" s="487"/>
      <c r="J76" s="487"/>
      <c r="K76" s="487"/>
      <c r="L76" s="487"/>
      <c r="M76" s="488"/>
      <c r="N76" s="2"/>
      <c r="O76" s="121"/>
      <c r="P76" s="491">
        <f>$Q$13</f>
        <v>1</v>
      </c>
      <c r="Q76" s="121"/>
      <c r="S76" s="29"/>
      <c r="T76" s="29"/>
      <c r="U76" s="491">
        <f>$Q$13</f>
        <v>1</v>
      </c>
      <c r="X76" s="29"/>
    </row>
    <row r="77" spans="1:256" ht="16.5" customHeight="1">
      <c r="A77" s="2"/>
      <c r="B77" s="521"/>
      <c r="C77" s="24"/>
      <c r="D77" s="28" t="str">
        <f>IF(D75=$Q$18,$R$14,IF(ROUNDDOWN(D75,0)=$Q$14,$S$14,$R$14))</f>
        <v>　レベル　2</v>
      </c>
      <c r="E77" s="439" t="s">
        <v>665</v>
      </c>
      <c r="F77" s="489"/>
      <c r="G77" s="489"/>
      <c r="H77" s="489"/>
      <c r="I77" s="489"/>
      <c r="J77" s="489"/>
      <c r="K77" s="489"/>
      <c r="L77" s="489"/>
      <c r="M77" s="490"/>
      <c r="N77" s="2"/>
      <c r="O77" s="121"/>
      <c r="P77" s="491" t="s">
        <v>55</v>
      </c>
      <c r="Q77" s="121"/>
      <c r="S77" s="29"/>
      <c r="T77" s="29"/>
      <c r="U77" s="491">
        <f>$Q$14</f>
        <v>2</v>
      </c>
      <c r="X77" s="29"/>
    </row>
    <row r="78" spans="1:256" ht="16.5" customHeight="1">
      <c r="A78" s="2"/>
      <c r="B78" s="521"/>
      <c r="C78" s="24"/>
      <c r="D78" s="28" t="str">
        <f>IF(D75=$Q$18,$R$15,IF(ROUNDDOWN(D75,0)=$Q$15,$S$15,$R$15))</f>
        <v>　レベル　3</v>
      </c>
      <c r="E78" s="439" t="s">
        <v>22</v>
      </c>
      <c r="F78" s="489"/>
      <c r="G78" s="489"/>
      <c r="H78" s="489"/>
      <c r="I78" s="489"/>
      <c r="J78" s="489"/>
      <c r="K78" s="489"/>
      <c r="L78" s="489"/>
      <c r="M78" s="490"/>
      <c r="N78" s="2"/>
      <c r="O78" s="121"/>
      <c r="P78" s="491">
        <f>$Q$15</f>
        <v>3</v>
      </c>
      <c r="Q78" s="121"/>
      <c r="S78" s="29"/>
      <c r="T78" s="29"/>
      <c r="U78" s="491">
        <f>$Q$15</f>
        <v>3</v>
      </c>
      <c r="X78" s="29"/>
    </row>
    <row r="79" spans="1:256" ht="16.5" customHeight="1">
      <c r="A79" s="2"/>
      <c r="B79" s="521"/>
      <c r="C79" s="24"/>
      <c r="D79" s="28" t="str">
        <f>IF(D75=$Q$18,$R$16,IF(ROUNDDOWN(D75,0)=$Q$16,$S$16,$R$16))</f>
        <v>■レベル　4</v>
      </c>
      <c r="E79" s="451" t="s">
        <v>23</v>
      </c>
      <c r="F79" s="2630"/>
      <c r="G79" s="2630"/>
      <c r="H79" s="2630"/>
      <c r="I79" s="2630"/>
      <c r="J79" s="2630"/>
      <c r="K79" s="2630"/>
      <c r="L79" s="2630"/>
      <c r="M79" s="2631"/>
      <c r="N79" s="2"/>
      <c r="O79" s="121"/>
      <c r="P79" s="491">
        <f>$Q$16</f>
        <v>4</v>
      </c>
      <c r="Q79" s="121"/>
      <c r="S79" s="29"/>
      <c r="T79" s="29"/>
      <c r="U79" s="491">
        <f>$Q$16</f>
        <v>4</v>
      </c>
      <c r="X79" s="29"/>
    </row>
    <row r="80" spans="1:256" ht="16.5" customHeight="1">
      <c r="A80" s="2"/>
      <c r="B80" s="521"/>
      <c r="C80" s="24"/>
      <c r="D80" s="26" t="str">
        <f>IF(D75=$Q$18,$R$17,IF(ROUNDDOWN(D75,0)=$Q$17,$S$17,$R$17))</f>
        <v>　レベル　5</v>
      </c>
      <c r="E80" s="473" t="s">
        <v>24</v>
      </c>
      <c r="F80" s="2632"/>
      <c r="G80" s="2632"/>
      <c r="H80" s="2632"/>
      <c r="I80" s="2632"/>
      <c r="J80" s="2632"/>
      <c r="K80" s="2632"/>
      <c r="L80" s="2632"/>
      <c r="M80" s="2633"/>
      <c r="N80" s="2"/>
      <c r="O80" s="121"/>
      <c r="P80" s="491">
        <f>$Q$17</f>
        <v>5</v>
      </c>
      <c r="Q80" s="121"/>
      <c r="S80" s="29"/>
      <c r="T80" s="29"/>
      <c r="U80" s="491">
        <f>$Q$17</f>
        <v>5</v>
      </c>
      <c r="X80" s="29"/>
    </row>
    <row r="81" spans="1:256" ht="16.5" customHeight="1">
      <c r="A81" s="2"/>
      <c r="B81" s="521"/>
      <c r="C81" s="24"/>
      <c r="D81" s="24"/>
      <c r="E81" s="127" t="s">
        <v>35</v>
      </c>
      <c r="F81" s="21"/>
      <c r="G81" s="21"/>
      <c r="H81" s="21"/>
      <c r="I81" s="21"/>
      <c r="J81" s="21"/>
      <c r="K81" s="21"/>
      <c r="L81" s="22"/>
      <c r="M81" s="22"/>
      <c r="N81" s="24"/>
      <c r="O81" s="121"/>
      <c r="P81" s="491" t="s">
        <v>832</v>
      </c>
      <c r="Q81" s="284" t="s">
        <v>87</v>
      </c>
      <c r="S81" s="29"/>
      <c r="T81" s="29"/>
      <c r="U81" s="491" t="str">
        <f>$Q$18</f>
        <v>対象外</v>
      </c>
      <c r="X81" s="29"/>
      <c r="Y81" s="499"/>
      <c r="Z81" s="499"/>
      <c r="AA81" s="499"/>
      <c r="AB81" s="499"/>
      <c r="AC81" s="499"/>
      <c r="AD81" s="499"/>
      <c r="AE81" s="499"/>
      <c r="AF81" s="499"/>
      <c r="AG81" s="499"/>
      <c r="AH81" s="499"/>
      <c r="AI81" s="499"/>
      <c r="AJ81" s="499"/>
      <c r="AK81" s="499"/>
      <c r="AL81" s="499"/>
      <c r="AM81" s="499"/>
      <c r="AN81" s="499"/>
      <c r="AO81" s="499"/>
      <c r="AP81" s="499"/>
      <c r="AQ81" s="499"/>
      <c r="AR81" s="499"/>
      <c r="AS81" s="499"/>
      <c r="AT81" s="499"/>
      <c r="AU81" s="499"/>
      <c r="AV81" s="499"/>
      <c r="AW81" s="499"/>
      <c r="AX81" s="499"/>
      <c r="AY81" s="499"/>
      <c r="AZ81" s="499"/>
      <c r="BA81" s="499"/>
      <c r="BB81" s="499"/>
      <c r="BC81" s="499"/>
      <c r="BD81" s="499"/>
      <c r="BE81" s="499"/>
      <c r="BF81" s="499"/>
      <c r="BG81" s="499"/>
      <c r="BH81" s="499"/>
      <c r="BI81" s="499"/>
      <c r="BJ81" s="499"/>
      <c r="BK81" s="499"/>
      <c r="BL81" s="499"/>
      <c r="BM81" s="499"/>
      <c r="BN81" s="499"/>
      <c r="BO81" s="499"/>
      <c r="BP81" s="499"/>
      <c r="BQ81" s="499"/>
      <c r="BR81" s="499"/>
      <c r="BS81" s="499"/>
      <c r="BT81" s="499"/>
      <c r="BU81" s="499"/>
      <c r="BV81" s="499"/>
      <c r="BW81" s="499"/>
      <c r="BX81" s="499"/>
      <c r="BY81" s="499"/>
      <c r="BZ81" s="499"/>
      <c r="CA81" s="499"/>
      <c r="CB81" s="499"/>
      <c r="CC81" s="499"/>
      <c r="CD81" s="499"/>
      <c r="CE81" s="499"/>
      <c r="CF81" s="499"/>
      <c r="CG81" s="499"/>
      <c r="CH81" s="499"/>
      <c r="CI81" s="499"/>
      <c r="CJ81" s="499"/>
      <c r="CK81" s="499"/>
      <c r="CL81" s="499"/>
      <c r="CM81" s="499"/>
      <c r="CN81" s="499"/>
      <c r="CO81" s="499"/>
      <c r="CP81" s="499"/>
      <c r="CQ81" s="499"/>
      <c r="CR81" s="499"/>
      <c r="CS81" s="499"/>
      <c r="CT81" s="499"/>
      <c r="CU81" s="499"/>
      <c r="CV81" s="499"/>
      <c r="CW81" s="499"/>
      <c r="CX81" s="499"/>
      <c r="CY81" s="499"/>
      <c r="CZ81" s="499"/>
      <c r="DA81" s="499"/>
      <c r="DB81" s="499"/>
      <c r="DC81" s="499"/>
      <c r="DD81" s="499"/>
      <c r="DE81" s="499"/>
      <c r="DF81" s="499"/>
      <c r="DG81" s="499"/>
      <c r="DH81" s="499"/>
      <c r="DI81" s="499"/>
      <c r="DJ81" s="499"/>
      <c r="DK81" s="499"/>
      <c r="DL81" s="499"/>
      <c r="DM81" s="499"/>
      <c r="DN81" s="499"/>
      <c r="DO81" s="499"/>
      <c r="DP81" s="499"/>
      <c r="DQ81" s="499"/>
      <c r="DR81" s="499"/>
      <c r="DS81" s="499"/>
      <c r="DT81" s="499"/>
      <c r="DU81" s="499"/>
      <c r="DV81" s="499"/>
      <c r="DW81" s="499"/>
      <c r="DX81" s="499"/>
      <c r="DY81" s="499"/>
      <c r="DZ81" s="499"/>
      <c r="EA81" s="499"/>
      <c r="EB81" s="499"/>
      <c r="EC81" s="499"/>
      <c r="ED81" s="499"/>
      <c r="EE81" s="499"/>
      <c r="EF81" s="499"/>
      <c r="EG81" s="499"/>
      <c r="EH81" s="499"/>
      <c r="EI81" s="499"/>
      <c r="EJ81" s="499"/>
      <c r="EK81" s="499"/>
      <c r="EL81" s="499"/>
      <c r="EM81" s="499"/>
      <c r="EN81" s="499"/>
      <c r="EO81" s="499"/>
      <c r="EP81" s="499"/>
      <c r="EQ81" s="499"/>
      <c r="ER81" s="499"/>
      <c r="ES81" s="499"/>
      <c r="ET81" s="499"/>
      <c r="EU81" s="499"/>
      <c r="EV81" s="499"/>
      <c r="EW81" s="499"/>
      <c r="EX81" s="499"/>
      <c r="EY81" s="499"/>
      <c r="EZ81" s="499"/>
      <c r="FA81" s="499"/>
      <c r="FB81" s="499"/>
      <c r="FC81" s="499"/>
      <c r="FD81" s="499"/>
      <c r="FE81" s="499"/>
      <c r="FF81" s="499"/>
      <c r="FG81" s="499"/>
      <c r="FH81" s="499"/>
      <c r="FI81" s="499"/>
      <c r="FJ81" s="499"/>
      <c r="FK81" s="499"/>
      <c r="FL81" s="499"/>
      <c r="FM81" s="499"/>
      <c r="FN81" s="499"/>
      <c r="FO81" s="499"/>
      <c r="FP81" s="499"/>
      <c r="FQ81" s="499"/>
      <c r="FR81" s="499"/>
      <c r="FS81" s="499"/>
      <c r="FT81" s="499"/>
      <c r="FU81" s="499"/>
      <c r="FV81" s="499"/>
      <c r="FW81" s="499"/>
      <c r="FX81" s="499"/>
      <c r="FY81" s="499"/>
      <c r="FZ81" s="499"/>
      <c r="GA81" s="499"/>
      <c r="GB81" s="499"/>
      <c r="GC81" s="499"/>
      <c r="GD81" s="499"/>
      <c r="GE81" s="499"/>
      <c r="GF81" s="499"/>
      <c r="GG81" s="499"/>
      <c r="GH81" s="499"/>
      <c r="GI81" s="499"/>
      <c r="GJ81" s="499"/>
      <c r="GK81" s="499"/>
      <c r="GL81" s="499"/>
      <c r="GM81" s="499"/>
      <c r="GN81" s="499"/>
      <c r="GO81" s="499"/>
      <c r="GP81" s="499"/>
      <c r="GQ81" s="499"/>
      <c r="GR81" s="499"/>
      <c r="GS81" s="499"/>
      <c r="GT81" s="499"/>
      <c r="GU81" s="499"/>
      <c r="GV81" s="499"/>
      <c r="GW81" s="499"/>
      <c r="GX81" s="499"/>
      <c r="GY81" s="499"/>
      <c r="GZ81" s="499"/>
      <c r="HA81" s="499"/>
      <c r="HB81" s="499"/>
      <c r="HC81" s="499"/>
      <c r="HD81" s="499"/>
      <c r="HE81" s="499"/>
      <c r="HF81" s="499"/>
      <c r="HG81" s="499"/>
      <c r="HH81" s="499"/>
      <c r="HI81" s="499"/>
      <c r="HJ81" s="499"/>
      <c r="HK81" s="499"/>
      <c r="HL81" s="499"/>
      <c r="HM81" s="499"/>
      <c r="HN81" s="499"/>
      <c r="HO81" s="499"/>
      <c r="HP81" s="499"/>
      <c r="HQ81" s="499"/>
      <c r="HR81" s="499"/>
      <c r="HS81" s="499"/>
      <c r="HT81" s="499"/>
      <c r="HU81" s="499"/>
      <c r="HV81" s="499"/>
      <c r="HW81" s="499"/>
      <c r="HX81" s="499"/>
      <c r="HY81" s="499"/>
      <c r="HZ81" s="499"/>
      <c r="IA81" s="499"/>
      <c r="IB81" s="499"/>
      <c r="IC81" s="499"/>
      <c r="ID81" s="499"/>
      <c r="IE81" s="499"/>
      <c r="IF81" s="499"/>
      <c r="IG81" s="499"/>
      <c r="IH81" s="499"/>
      <c r="II81" s="499"/>
      <c r="IJ81" s="499"/>
      <c r="IK81" s="499"/>
      <c r="IL81" s="499"/>
      <c r="IM81" s="499"/>
      <c r="IN81" s="499"/>
      <c r="IO81" s="499"/>
      <c r="IP81" s="499"/>
      <c r="IQ81" s="499"/>
      <c r="IR81" s="499"/>
      <c r="IS81" s="499"/>
      <c r="IT81" s="499"/>
      <c r="IU81" s="499"/>
      <c r="IV81" s="499"/>
    </row>
    <row r="82" spans="1:256" ht="16.5" customHeight="1">
      <c r="A82" s="2"/>
      <c r="B82" s="521"/>
      <c r="C82" s="24"/>
      <c r="D82" s="24"/>
      <c r="E82" s="119" t="s">
        <v>351</v>
      </c>
      <c r="F82" s="482" t="s">
        <v>78</v>
      </c>
      <c r="G82" s="461" t="s">
        <v>80</v>
      </c>
      <c r="H82" s="462"/>
      <c r="I82" s="462"/>
      <c r="J82" s="463"/>
      <c r="K82" s="424"/>
      <c r="L82" s="325" t="s">
        <v>854</v>
      </c>
      <c r="M82" s="425"/>
      <c r="N82" s="24"/>
      <c r="O82" s="121"/>
      <c r="P82" s="511"/>
      <c r="Q82" s="121"/>
      <c r="S82" s="29"/>
      <c r="T82" s="29"/>
      <c r="U82" s="511"/>
      <c r="X82" s="29"/>
      <c r="Y82" s="499"/>
      <c r="Z82" s="499"/>
      <c r="AA82" s="499"/>
      <c r="AB82" s="499"/>
      <c r="AC82" s="499"/>
      <c r="AD82" s="499"/>
      <c r="AE82" s="499"/>
      <c r="AF82" s="499"/>
      <c r="AG82" s="499"/>
      <c r="AH82" s="499"/>
      <c r="AI82" s="499"/>
      <c r="AJ82" s="499"/>
      <c r="AK82" s="499"/>
      <c r="AL82" s="499"/>
      <c r="AM82" s="499"/>
      <c r="AN82" s="499"/>
      <c r="AO82" s="499"/>
      <c r="AP82" s="499"/>
      <c r="AQ82" s="499"/>
      <c r="AR82" s="499"/>
      <c r="AS82" s="499"/>
      <c r="AT82" s="499"/>
      <c r="AU82" s="499"/>
      <c r="AV82" s="499"/>
      <c r="AW82" s="499"/>
      <c r="AX82" s="499"/>
      <c r="AY82" s="499"/>
      <c r="AZ82" s="499"/>
      <c r="BA82" s="499"/>
      <c r="BB82" s="499"/>
      <c r="BC82" s="499"/>
      <c r="BD82" s="499"/>
      <c r="BE82" s="499"/>
      <c r="BF82" s="499"/>
      <c r="BG82" s="499"/>
      <c r="BH82" s="499"/>
      <c r="BI82" s="499"/>
      <c r="BJ82" s="499"/>
      <c r="BK82" s="499"/>
      <c r="BL82" s="499"/>
      <c r="BM82" s="499"/>
      <c r="BN82" s="499"/>
      <c r="BO82" s="499"/>
      <c r="BP82" s="499"/>
      <c r="BQ82" s="499"/>
      <c r="BR82" s="499"/>
      <c r="BS82" s="499"/>
      <c r="BT82" s="499"/>
      <c r="BU82" s="499"/>
      <c r="BV82" s="499"/>
      <c r="BW82" s="499"/>
      <c r="BX82" s="499"/>
      <c r="BY82" s="499"/>
      <c r="BZ82" s="499"/>
      <c r="CA82" s="499"/>
      <c r="CB82" s="499"/>
      <c r="CC82" s="499"/>
      <c r="CD82" s="499"/>
      <c r="CE82" s="499"/>
      <c r="CF82" s="499"/>
      <c r="CG82" s="499"/>
      <c r="CH82" s="499"/>
      <c r="CI82" s="499"/>
      <c r="CJ82" s="499"/>
      <c r="CK82" s="499"/>
      <c r="CL82" s="499"/>
      <c r="CM82" s="499"/>
      <c r="CN82" s="499"/>
      <c r="CO82" s="499"/>
      <c r="CP82" s="499"/>
      <c r="CQ82" s="499"/>
      <c r="CR82" s="499"/>
      <c r="CS82" s="499"/>
      <c r="CT82" s="499"/>
      <c r="CU82" s="499"/>
      <c r="CV82" s="499"/>
      <c r="CW82" s="499"/>
      <c r="CX82" s="499"/>
      <c r="CY82" s="499"/>
      <c r="CZ82" s="499"/>
      <c r="DA82" s="499"/>
      <c r="DB82" s="499"/>
      <c r="DC82" s="499"/>
      <c r="DD82" s="499"/>
      <c r="DE82" s="499"/>
      <c r="DF82" s="499"/>
      <c r="DG82" s="499"/>
      <c r="DH82" s="499"/>
      <c r="DI82" s="499"/>
      <c r="DJ82" s="499"/>
      <c r="DK82" s="499"/>
      <c r="DL82" s="499"/>
      <c r="DM82" s="499"/>
      <c r="DN82" s="499"/>
      <c r="DO82" s="499"/>
      <c r="DP82" s="499"/>
      <c r="DQ82" s="499"/>
      <c r="DR82" s="499"/>
      <c r="DS82" s="499"/>
      <c r="DT82" s="499"/>
      <c r="DU82" s="499"/>
      <c r="DV82" s="499"/>
      <c r="DW82" s="499"/>
      <c r="DX82" s="499"/>
      <c r="DY82" s="499"/>
      <c r="DZ82" s="499"/>
      <c r="EA82" s="499"/>
      <c r="EB82" s="499"/>
      <c r="EC82" s="499"/>
      <c r="ED82" s="499"/>
      <c r="EE82" s="499"/>
      <c r="EF82" s="499"/>
      <c r="EG82" s="499"/>
      <c r="EH82" s="499"/>
      <c r="EI82" s="499"/>
      <c r="EJ82" s="499"/>
      <c r="EK82" s="499"/>
      <c r="EL82" s="499"/>
      <c r="EM82" s="499"/>
      <c r="EN82" s="499"/>
      <c r="EO82" s="499"/>
      <c r="EP82" s="499"/>
      <c r="EQ82" s="499"/>
      <c r="ER82" s="499"/>
      <c r="ES82" s="499"/>
      <c r="ET82" s="499"/>
      <c r="EU82" s="499"/>
      <c r="EV82" s="499"/>
      <c r="EW82" s="499"/>
      <c r="EX82" s="499"/>
      <c r="EY82" s="499"/>
      <c r="EZ82" s="499"/>
      <c r="FA82" s="499"/>
      <c r="FB82" s="499"/>
      <c r="FC82" s="499"/>
      <c r="FD82" s="499"/>
      <c r="FE82" s="499"/>
      <c r="FF82" s="499"/>
      <c r="FG82" s="499"/>
      <c r="FH82" s="499"/>
      <c r="FI82" s="499"/>
      <c r="FJ82" s="499"/>
      <c r="FK82" s="499"/>
      <c r="FL82" s="499"/>
      <c r="FM82" s="499"/>
      <c r="FN82" s="499"/>
      <c r="FO82" s="499"/>
      <c r="FP82" s="499"/>
      <c r="FQ82" s="499"/>
      <c r="FR82" s="499"/>
      <c r="FS82" s="499"/>
      <c r="FT82" s="499"/>
      <c r="FU82" s="499"/>
      <c r="FV82" s="499"/>
      <c r="FW82" s="499"/>
      <c r="FX82" s="499"/>
      <c r="FY82" s="499"/>
      <c r="FZ82" s="499"/>
      <c r="GA82" s="499"/>
      <c r="GB82" s="499"/>
      <c r="GC82" s="499"/>
      <c r="GD82" s="499"/>
      <c r="GE82" s="499"/>
      <c r="GF82" s="499"/>
      <c r="GG82" s="499"/>
      <c r="GH82" s="499"/>
      <c r="GI82" s="499"/>
      <c r="GJ82" s="499"/>
      <c r="GK82" s="499"/>
      <c r="GL82" s="499"/>
      <c r="GM82" s="499"/>
      <c r="GN82" s="499"/>
      <c r="GO82" s="499"/>
      <c r="GP82" s="499"/>
      <c r="GQ82" s="499"/>
      <c r="GR82" s="499"/>
      <c r="GS82" s="499"/>
      <c r="GT82" s="499"/>
      <c r="GU82" s="499"/>
      <c r="GV82" s="499"/>
      <c r="GW82" s="499"/>
      <c r="GX82" s="499"/>
      <c r="GY82" s="499"/>
      <c r="GZ82" s="499"/>
      <c r="HA82" s="499"/>
      <c r="HB82" s="499"/>
      <c r="HC82" s="499"/>
      <c r="HD82" s="499"/>
      <c r="HE82" s="499"/>
      <c r="HF82" s="499"/>
      <c r="HG82" s="499"/>
      <c r="HH82" s="499"/>
      <c r="HI82" s="499"/>
      <c r="HJ82" s="499"/>
      <c r="HK82" s="499"/>
      <c r="HL82" s="499"/>
      <c r="HM82" s="499"/>
      <c r="HN82" s="499"/>
      <c r="HO82" s="499"/>
      <c r="HP82" s="499"/>
      <c r="HQ82" s="499"/>
      <c r="HR82" s="499"/>
      <c r="HS82" s="499"/>
      <c r="HT82" s="499"/>
      <c r="HU82" s="499"/>
      <c r="HV82" s="499"/>
      <c r="HW82" s="499"/>
      <c r="HX82" s="499"/>
      <c r="HY82" s="499"/>
      <c r="HZ82" s="499"/>
      <c r="IA82" s="499"/>
      <c r="IB82" s="499"/>
      <c r="IC82" s="499"/>
      <c r="ID82" s="499"/>
      <c r="IE82" s="499"/>
      <c r="IF82" s="499"/>
      <c r="IG82" s="499"/>
      <c r="IH82" s="499"/>
      <c r="II82" s="499"/>
      <c r="IJ82" s="499"/>
      <c r="IK82" s="499"/>
      <c r="IL82" s="499"/>
      <c r="IM82" s="499"/>
      <c r="IN82" s="499"/>
      <c r="IO82" s="499"/>
      <c r="IP82" s="499"/>
      <c r="IQ82" s="499"/>
      <c r="IR82" s="499"/>
      <c r="IS82" s="499"/>
      <c r="IT82" s="499"/>
      <c r="IU82" s="499"/>
      <c r="IV82" s="499"/>
    </row>
    <row r="83" spans="1:256" ht="16.5" customHeight="1" thickBot="1">
      <c r="A83" s="2"/>
      <c r="B83" s="521"/>
      <c r="C83" s="24"/>
      <c r="D83" s="24"/>
      <c r="E83" s="529"/>
      <c r="F83" s="523"/>
      <c r="G83" s="524"/>
      <c r="H83" s="525"/>
      <c r="I83" s="525"/>
      <c r="J83" s="526"/>
      <c r="K83" s="497" t="s">
        <v>849</v>
      </c>
      <c r="L83" s="497" t="s">
        <v>850</v>
      </c>
      <c r="M83" s="523" t="s">
        <v>851</v>
      </c>
      <c r="N83" s="24"/>
      <c r="O83" s="121"/>
      <c r="P83" s="511"/>
      <c r="Q83" s="121"/>
      <c r="S83" s="29"/>
      <c r="T83" s="29"/>
      <c r="U83" s="511"/>
      <c r="X83" s="29"/>
      <c r="Y83" s="499"/>
      <c r="Z83" s="499"/>
      <c r="AA83" s="499"/>
      <c r="AB83" s="499"/>
      <c r="AC83" s="499"/>
      <c r="AD83" s="499"/>
      <c r="AE83" s="499"/>
      <c r="AF83" s="499"/>
      <c r="AG83" s="499"/>
      <c r="AH83" s="499"/>
      <c r="AI83" s="499"/>
      <c r="AJ83" s="499"/>
      <c r="AK83" s="499"/>
      <c r="AL83" s="499"/>
      <c r="AM83" s="499"/>
      <c r="AN83" s="499"/>
      <c r="AO83" s="499"/>
      <c r="AP83" s="499"/>
      <c r="AQ83" s="499"/>
      <c r="AR83" s="499"/>
      <c r="AS83" s="499"/>
      <c r="AT83" s="499"/>
      <c r="AU83" s="499"/>
      <c r="AV83" s="499"/>
      <c r="AW83" s="499"/>
      <c r="AX83" s="499"/>
      <c r="AY83" s="499"/>
      <c r="AZ83" s="499"/>
      <c r="BA83" s="499"/>
      <c r="BB83" s="499"/>
      <c r="BC83" s="499"/>
      <c r="BD83" s="499"/>
      <c r="BE83" s="499"/>
      <c r="BF83" s="499"/>
      <c r="BG83" s="499"/>
      <c r="BH83" s="499"/>
      <c r="BI83" s="499"/>
      <c r="BJ83" s="499"/>
      <c r="BK83" s="499"/>
      <c r="BL83" s="499"/>
      <c r="BM83" s="499"/>
      <c r="BN83" s="499"/>
      <c r="BO83" s="499"/>
      <c r="BP83" s="499"/>
      <c r="BQ83" s="499"/>
      <c r="BR83" s="499"/>
      <c r="BS83" s="499"/>
      <c r="BT83" s="499"/>
      <c r="BU83" s="499"/>
      <c r="BV83" s="499"/>
      <c r="BW83" s="499"/>
      <c r="BX83" s="499"/>
      <c r="BY83" s="499"/>
      <c r="BZ83" s="499"/>
      <c r="CA83" s="499"/>
      <c r="CB83" s="499"/>
      <c r="CC83" s="499"/>
      <c r="CD83" s="499"/>
      <c r="CE83" s="499"/>
      <c r="CF83" s="499"/>
      <c r="CG83" s="499"/>
      <c r="CH83" s="499"/>
      <c r="CI83" s="499"/>
      <c r="CJ83" s="499"/>
      <c r="CK83" s="499"/>
      <c r="CL83" s="499"/>
      <c r="CM83" s="499"/>
      <c r="CN83" s="499"/>
      <c r="CO83" s="499"/>
      <c r="CP83" s="499"/>
      <c r="CQ83" s="499"/>
      <c r="CR83" s="499"/>
      <c r="CS83" s="499"/>
      <c r="CT83" s="499"/>
      <c r="CU83" s="499"/>
      <c r="CV83" s="499"/>
      <c r="CW83" s="499"/>
      <c r="CX83" s="499"/>
      <c r="CY83" s="499"/>
      <c r="CZ83" s="499"/>
      <c r="DA83" s="499"/>
      <c r="DB83" s="499"/>
      <c r="DC83" s="499"/>
      <c r="DD83" s="499"/>
      <c r="DE83" s="499"/>
      <c r="DF83" s="499"/>
      <c r="DG83" s="499"/>
      <c r="DH83" s="499"/>
      <c r="DI83" s="499"/>
      <c r="DJ83" s="499"/>
      <c r="DK83" s="499"/>
      <c r="DL83" s="499"/>
      <c r="DM83" s="499"/>
      <c r="DN83" s="499"/>
      <c r="DO83" s="499"/>
      <c r="DP83" s="499"/>
      <c r="DQ83" s="499"/>
      <c r="DR83" s="499"/>
      <c r="DS83" s="499"/>
      <c r="DT83" s="499"/>
      <c r="DU83" s="499"/>
      <c r="DV83" s="499"/>
      <c r="DW83" s="499"/>
      <c r="DX83" s="499"/>
      <c r="DY83" s="499"/>
      <c r="DZ83" s="499"/>
      <c r="EA83" s="499"/>
      <c r="EB83" s="499"/>
      <c r="EC83" s="499"/>
      <c r="ED83" s="499"/>
      <c r="EE83" s="499"/>
      <c r="EF83" s="499"/>
      <c r="EG83" s="499"/>
      <c r="EH83" s="499"/>
      <c r="EI83" s="499"/>
      <c r="EJ83" s="499"/>
      <c r="EK83" s="499"/>
      <c r="EL83" s="499"/>
      <c r="EM83" s="499"/>
      <c r="EN83" s="499"/>
      <c r="EO83" s="499"/>
      <c r="EP83" s="499"/>
      <c r="EQ83" s="499"/>
      <c r="ER83" s="499"/>
      <c r="ES83" s="499"/>
      <c r="ET83" s="499"/>
      <c r="EU83" s="499"/>
      <c r="EV83" s="499"/>
      <c r="EW83" s="499"/>
      <c r="EX83" s="499"/>
      <c r="EY83" s="499"/>
      <c r="EZ83" s="499"/>
      <c r="FA83" s="499"/>
      <c r="FB83" s="499"/>
      <c r="FC83" s="499"/>
      <c r="FD83" s="499"/>
      <c r="FE83" s="499"/>
      <c r="FF83" s="499"/>
      <c r="FG83" s="499"/>
      <c r="FH83" s="499"/>
      <c r="FI83" s="499"/>
      <c r="FJ83" s="499"/>
      <c r="FK83" s="499"/>
      <c r="FL83" s="499"/>
      <c r="FM83" s="499"/>
      <c r="FN83" s="499"/>
      <c r="FO83" s="499"/>
      <c r="FP83" s="499"/>
      <c r="FQ83" s="499"/>
      <c r="FR83" s="499"/>
      <c r="FS83" s="499"/>
      <c r="FT83" s="499"/>
      <c r="FU83" s="499"/>
      <c r="FV83" s="499"/>
      <c r="FW83" s="499"/>
      <c r="FX83" s="499"/>
      <c r="FY83" s="499"/>
      <c r="FZ83" s="499"/>
      <c r="GA83" s="499"/>
      <c r="GB83" s="499"/>
      <c r="GC83" s="499"/>
      <c r="GD83" s="499"/>
      <c r="GE83" s="499"/>
      <c r="GF83" s="499"/>
      <c r="GG83" s="499"/>
      <c r="GH83" s="499"/>
      <c r="GI83" s="499"/>
      <c r="GJ83" s="499"/>
      <c r="GK83" s="499"/>
      <c r="GL83" s="499"/>
      <c r="GM83" s="499"/>
      <c r="GN83" s="499"/>
      <c r="GO83" s="499"/>
      <c r="GP83" s="499"/>
      <c r="GQ83" s="499"/>
      <c r="GR83" s="499"/>
      <c r="GS83" s="499"/>
      <c r="GT83" s="499"/>
      <c r="GU83" s="499"/>
      <c r="GV83" s="499"/>
      <c r="GW83" s="499"/>
      <c r="GX83" s="499"/>
      <c r="GY83" s="499"/>
      <c r="GZ83" s="499"/>
      <c r="HA83" s="499"/>
      <c r="HB83" s="499"/>
      <c r="HC83" s="499"/>
      <c r="HD83" s="499"/>
      <c r="HE83" s="499"/>
      <c r="HF83" s="499"/>
      <c r="HG83" s="499"/>
      <c r="HH83" s="499"/>
      <c r="HI83" s="499"/>
      <c r="HJ83" s="499"/>
      <c r="HK83" s="499"/>
      <c r="HL83" s="499"/>
      <c r="HM83" s="499"/>
      <c r="HN83" s="499"/>
      <c r="HO83" s="499"/>
      <c r="HP83" s="499"/>
      <c r="HQ83" s="499"/>
      <c r="HR83" s="499"/>
      <c r="HS83" s="499"/>
      <c r="HT83" s="499"/>
      <c r="HU83" s="499"/>
      <c r="HV83" s="499"/>
      <c r="HW83" s="499"/>
      <c r="HX83" s="499"/>
      <c r="HY83" s="499"/>
      <c r="HZ83" s="499"/>
      <c r="IA83" s="499"/>
      <c r="IB83" s="499"/>
      <c r="IC83" s="499"/>
      <c r="ID83" s="499"/>
      <c r="IE83" s="499"/>
      <c r="IF83" s="499"/>
      <c r="IG83" s="499"/>
      <c r="IH83" s="499"/>
      <c r="II83" s="499"/>
      <c r="IJ83" s="499"/>
      <c r="IK83" s="499"/>
      <c r="IL83" s="499"/>
      <c r="IM83" s="499"/>
      <c r="IN83" s="499"/>
      <c r="IO83" s="499"/>
      <c r="IP83" s="499"/>
      <c r="IQ83" s="499"/>
      <c r="IR83" s="499"/>
      <c r="IS83" s="499"/>
      <c r="IT83" s="499"/>
      <c r="IU83" s="499"/>
      <c r="IV83" s="499"/>
    </row>
    <row r="84" spans="1:256" ht="24" customHeight="1">
      <c r="A84" s="2"/>
      <c r="B84" s="521"/>
      <c r="C84" s="24"/>
      <c r="D84" s="24"/>
      <c r="E84" s="876">
        <v>2</v>
      </c>
      <c r="F84" s="429">
        <v>1</v>
      </c>
      <c r="G84" s="3053" t="s">
        <v>2084</v>
      </c>
      <c r="H84" s="3054"/>
      <c r="I84" s="3054"/>
      <c r="J84" s="3055"/>
      <c r="K84" s="2581">
        <v>2</v>
      </c>
      <c r="L84" s="2581">
        <v>1</v>
      </c>
      <c r="M84" s="2582">
        <v>0</v>
      </c>
      <c r="N84" s="24"/>
      <c r="O84" s="121"/>
      <c r="P84" s="527">
        <v>2</v>
      </c>
      <c r="Q84" s="274">
        <v>1</v>
      </c>
      <c r="R84" s="528">
        <v>0</v>
      </c>
      <c r="S84" s="360" t="s">
        <v>407</v>
      </c>
      <c r="T84" s="29"/>
      <c r="U84" s="511"/>
      <c r="X84" s="29"/>
      <c r="Y84" s="499"/>
      <c r="Z84" s="499"/>
      <c r="AA84" s="499"/>
      <c r="AB84" s="499"/>
      <c r="AC84" s="499"/>
      <c r="AD84" s="499"/>
      <c r="AE84" s="499"/>
      <c r="AF84" s="499"/>
      <c r="AG84" s="499"/>
      <c r="AH84" s="499"/>
      <c r="AI84" s="499"/>
      <c r="AJ84" s="499"/>
      <c r="AK84" s="499"/>
      <c r="AL84" s="499"/>
      <c r="AM84" s="499"/>
      <c r="AN84" s="499"/>
      <c r="AO84" s="499"/>
      <c r="AP84" s="499"/>
      <c r="AQ84" s="499"/>
      <c r="AR84" s="499"/>
      <c r="AS84" s="499"/>
      <c r="AT84" s="499"/>
      <c r="AU84" s="499"/>
      <c r="AV84" s="499"/>
      <c r="AW84" s="499"/>
      <c r="AX84" s="499"/>
      <c r="AY84" s="499"/>
      <c r="AZ84" s="499"/>
      <c r="BA84" s="499"/>
      <c r="BB84" s="499"/>
      <c r="BC84" s="499"/>
      <c r="BD84" s="499"/>
      <c r="BE84" s="499"/>
      <c r="BF84" s="499"/>
      <c r="BG84" s="499"/>
      <c r="BH84" s="499"/>
      <c r="BI84" s="499"/>
      <c r="BJ84" s="499"/>
      <c r="BK84" s="499"/>
      <c r="BL84" s="499"/>
      <c r="BM84" s="499"/>
      <c r="BN84" s="499"/>
      <c r="BO84" s="499"/>
      <c r="BP84" s="499"/>
      <c r="BQ84" s="499"/>
      <c r="BR84" s="499"/>
      <c r="BS84" s="499"/>
      <c r="BT84" s="499"/>
      <c r="BU84" s="499"/>
      <c r="BV84" s="499"/>
      <c r="BW84" s="499"/>
      <c r="BX84" s="499"/>
      <c r="BY84" s="499"/>
      <c r="BZ84" s="499"/>
      <c r="CA84" s="499"/>
      <c r="CB84" s="499"/>
      <c r="CC84" s="499"/>
      <c r="CD84" s="499"/>
      <c r="CE84" s="499"/>
      <c r="CF84" s="499"/>
      <c r="CG84" s="499"/>
      <c r="CH84" s="499"/>
      <c r="CI84" s="499"/>
      <c r="CJ84" s="499"/>
      <c r="CK84" s="499"/>
      <c r="CL84" s="499"/>
      <c r="CM84" s="499"/>
      <c r="CN84" s="499"/>
      <c r="CO84" s="499"/>
      <c r="CP84" s="499"/>
      <c r="CQ84" s="499"/>
      <c r="CR84" s="499"/>
      <c r="CS84" s="499"/>
      <c r="CT84" s="499"/>
      <c r="CU84" s="499"/>
      <c r="CV84" s="499"/>
      <c r="CW84" s="499"/>
      <c r="CX84" s="499"/>
      <c r="CY84" s="499"/>
      <c r="CZ84" s="499"/>
      <c r="DA84" s="499"/>
      <c r="DB84" s="499"/>
      <c r="DC84" s="499"/>
      <c r="DD84" s="499"/>
      <c r="DE84" s="499"/>
      <c r="DF84" s="499"/>
      <c r="DG84" s="499"/>
      <c r="DH84" s="499"/>
      <c r="DI84" s="499"/>
      <c r="DJ84" s="499"/>
      <c r="DK84" s="499"/>
      <c r="DL84" s="499"/>
      <c r="DM84" s="499"/>
      <c r="DN84" s="499"/>
      <c r="DO84" s="499"/>
      <c r="DP84" s="499"/>
      <c r="DQ84" s="499"/>
      <c r="DR84" s="499"/>
      <c r="DS84" s="499"/>
      <c r="DT84" s="499"/>
      <c r="DU84" s="499"/>
      <c r="DV84" s="499"/>
      <c r="DW84" s="499"/>
      <c r="DX84" s="499"/>
      <c r="DY84" s="499"/>
      <c r="DZ84" s="499"/>
      <c r="EA84" s="499"/>
      <c r="EB84" s="499"/>
      <c r="EC84" s="499"/>
      <c r="ED84" s="499"/>
      <c r="EE84" s="499"/>
      <c r="EF84" s="499"/>
      <c r="EG84" s="499"/>
      <c r="EH84" s="499"/>
      <c r="EI84" s="499"/>
      <c r="EJ84" s="499"/>
      <c r="EK84" s="499"/>
      <c r="EL84" s="499"/>
      <c r="EM84" s="499"/>
      <c r="EN84" s="499"/>
      <c r="EO84" s="499"/>
      <c r="EP84" s="499"/>
      <c r="EQ84" s="499"/>
      <c r="ER84" s="499"/>
      <c r="ES84" s="499"/>
      <c r="ET84" s="499"/>
      <c r="EU84" s="499"/>
      <c r="EV84" s="499"/>
      <c r="EW84" s="499"/>
      <c r="EX84" s="499"/>
      <c r="EY84" s="499"/>
      <c r="EZ84" s="499"/>
      <c r="FA84" s="499"/>
      <c r="FB84" s="499"/>
      <c r="FC84" s="499"/>
      <c r="FD84" s="499"/>
      <c r="FE84" s="499"/>
      <c r="FF84" s="499"/>
      <c r="FG84" s="499"/>
      <c r="FH84" s="499"/>
      <c r="FI84" s="499"/>
      <c r="FJ84" s="499"/>
      <c r="FK84" s="499"/>
      <c r="FL84" s="499"/>
      <c r="FM84" s="499"/>
      <c r="FN84" s="499"/>
      <c r="FO84" s="499"/>
      <c r="FP84" s="499"/>
      <c r="FQ84" s="499"/>
      <c r="FR84" s="499"/>
      <c r="FS84" s="499"/>
      <c r="FT84" s="499"/>
      <c r="FU84" s="499"/>
      <c r="FV84" s="499"/>
      <c r="FW84" s="499"/>
      <c r="FX84" s="499"/>
      <c r="FY84" s="499"/>
      <c r="FZ84" s="499"/>
      <c r="GA84" s="499"/>
      <c r="GB84" s="499"/>
      <c r="GC84" s="499"/>
      <c r="GD84" s="499"/>
      <c r="GE84" s="499"/>
      <c r="GF84" s="499"/>
      <c r="GG84" s="499"/>
      <c r="GH84" s="499"/>
      <c r="GI84" s="499"/>
      <c r="GJ84" s="499"/>
      <c r="GK84" s="499"/>
      <c r="GL84" s="499"/>
      <c r="GM84" s="499"/>
      <c r="GN84" s="499"/>
      <c r="GO84" s="499"/>
      <c r="GP84" s="499"/>
      <c r="GQ84" s="499"/>
      <c r="GR84" s="499"/>
      <c r="GS84" s="499"/>
      <c r="GT84" s="499"/>
      <c r="GU84" s="499"/>
      <c r="GV84" s="499"/>
      <c r="GW84" s="499"/>
      <c r="GX84" s="499"/>
      <c r="GY84" s="499"/>
      <c r="GZ84" s="499"/>
      <c r="HA84" s="499"/>
      <c r="HB84" s="499"/>
      <c r="HC84" s="499"/>
      <c r="HD84" s="499"/>
      <c r="HE84" s="499"/>
      <c r="HF84" s="499"/>
      <c r="HG84" s="499"/>
      <c r="HH84" s="499"/>
      <c r="HI84" s="499"/>
      <c r="HJ84" s="499"/>
      <c r="HK84" s="499"/>
      <c r="HL84" s="499"/>
      <c r="HM84" s="499"/>
      <c r="HN84" s="499"/>
      <c r="HO84" s="499"/>
      <c r="HP84" s="499"/>
      <c r="HQ84" s="499"/>
      <c r="HR84" s="499"/>
      <c r="HS84" s="499"/>
      <c r="HT84" s="499"/>
      <c r="HU84" s="499"/>
      <c r="HV84" s="499"/>
      <c r="HW84" s="499"/>
      <c r="HX84" s="499"/>
      <c r="HY84" s="499"/>
      <c r="HZ84" s="499"/>
      <c r="IA84" s="499"/>
      <c r="IB84" s="499"/>
      <c r="IC84" s="499"/>
      <c r="ID84" s="499"/>
      <c r="IE84" s="499"/>
      <c r="IF84" s="499"/>
      <c r="IG84" s="499"/>
      <c r="IH84" s="499"/>
      <c r="II84" s="499"/>
      <c r="IJ84" s="499"/>
      <c r="IK84" s="499"/>
      <c r="IL84" s="499"/>
      <c r="IM84" s="499"/>
      <c r="IN84" s="499"/>
      <c r="IO84" s="499"/>
      <c r="IP84" s="499"/>
      <c r="IQ84" s="499"/>
      <c r="IR84" s="499"/>
      <c r="IS84" s="499"/>
      <c r="IT84" s="499"/>
      <c r="IU84" s="499"/>
      <c r="IV84" s="499"/>
    </row>
    <row r="85" spans="1:256" ht="24" customHeight="1">
      <c r="A85" s="2"/>
      <c r="B85" s="521"/>
      <c r="C85" s="24"/>
      <c r="D85" s="24"/>
      <c r="E85" s="878">
        <v>0</v>
      </c>
      <c r="F85" s="1131">
        <v>2</v>
      </c>
      <c r="G85" s="2995" t="s">
        <v>2085</v>
      </c>
      <c r="H85" s="2996"/>
      <c r="I85" s="2996"/>
      <c r="J85" s="2997"/>
      <c r="K85" s="2581">
        <v>2</v>
      </c>
      <c r="L85" s="2581">
        <v>1</v>
      </c>
      <c r="M85" s="2582">
        <v>0</v>
      </c>
      <c r="N85" s="24"/>
      <c r="O85" s="121"/>
      <c r="P85" s="527">
        <v>2</v>
      </c>
      <c r="Q85" s="274">
        <v>1</v>
      </c>
      <c r="R85" s="528">
        <v>0</v>
      </c>
      <c r="S85" s="360" t="s">
        <v>407</v>
      </c>
      <c r="T85" s="29"/>
      <c r="U85" s="511"/>
      <c r="X85" s="2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99"/>
      <c r="CL85" s="499"/>
      <c r="CM85" s="499"/>
      <c r="CN85" s="499"/>
      <c r="CO85" s="499"/>
      <c r="CP85" s="499"/>
      <c r="CQ85" s="499"/>
      <c r="CR85" s="499"/>
      <c r="CS85" s="499"/>
      <c r="CT85" s="499"/>
      <c r="CU85" s="499"/>
      <c r="CV85" s="499"/>
      <c r="CW85" s="499"/>
      <c r="CX85" s="499"/>
      <c r="CY85" s="499"/>
      <c r="CZ85" s="499"/>
      <c r="DA85" s="499"/>
      <c r="DB85" s="499"/>
      <c r="DC85" s="499"/>
      <c r="DD85" s="499"/>
      <c r="DE85" s="499"/>
      <c r="DF85" s="499"/>
      <c r="DG85" s="499"/>
      <c r="DH85" s="499"/>
      <c r="DI85" s="499"/>
      <c r="DJ85" s="499"/>
      <c r="DK85" s="499"/>
      <c r="DL85" s="499"/>
      <c r="DM85" s="499"/>
      <c r="DN85" s="499"/>
      <c r="DO85" s="499"/>
      <c r="DP85" s="499"/>
      <c r="DQ85" s="499"/>
      <c r="DR85" s="499"/>
      <c r="DS85" s="499"/>
      <c r="DT85" s="499"/>
      <c r="DU85" s="499"/>
      <c r="DV85" s="499"/>
      <c r="DW85" s="499"/>
      <c r="DX85" s="499"/>
      <c r="DY85" s="499"/>
      <c r="DZ85" s="499"/>
      <c r="EA85" s="499"/>
      <c r="EB85" s="499"/>
      <c r="EC85" s="499"/>
      <c r="ED85" s="499"/>
      <c r="EE85" s="499"/>
      <c r="EF85" s="499"/>
      <c r="EG85" s="499"/>
      <c r="EH85" s="499"/>
      <c r="EI85" s="499"/>
      <c r="EJ85" s="499"/>
      <c r="EK85" s="499"/>
      <c r="EL85" s="499"/>
      <c r="EM85" s="499"/>
      <c r="EN85" s="499"/>
      <c r="EO85" s="499"/>
      <c r="EP85" s="499"/>
      <c r="EQ85" s="499"/>
      <c r="ER85" s="499"/>
      <c r="ES85" s="499"/>
      <c r="ET85" s="499"/>
      <c r="EU85" s="499"/>
      <c r="EV85" s="499"/>
      <c r="EW85" s="499"/>
      <c r="EX85" s="499"/>
      <c r="EY85" s="499"/>
      <c r="EZ85" s="499"/>
      <c r="FA85" s="499"/>
      <c r="FB85" s="499"/>
      <c r="FC85" s="499"/>
      <c r="FD85" s="499"/>
      <c r="FE85" s="499"/>
      <c r="FF85" s="499"/>
      <c r="FG85" s="499"/>
      <c r="FH85" s="499"/>
      <c r="FI85" s="499"/>
      <c r="FJ85" s="499"/>
      <c r="FK85" s="499"/>
      <c r="FL85" s="499"/>
      <c r="FM85" s="499"/>
      <c r="FN85" s="499"/>
      <c r="FO85" s="499"/>
      <c r="FP85" s="499"/>
      <c r="FQ85" s="499"/>
      <c r="FR85" s="499"/>
      <c r="FS85" s="499"/>
      <c r="FT85" s="499"/>
      <c r="FU85" s="499"/>
      <c r="FV85" s="499"/>
      <c r="FW85" s="499"/>
      <c r="FX85" s="499"/>
      <c r="FY85" s="499"/>
      <c r="FZ85" s="499"/>
      <c r="GA85" s="499"/>
      <c r="GB85" s="499"/>
      <c r="GC85" s="499"/>
      <c r="GD85" s="499"/>
      <c r="GE85" s="499"/>
      <c r="GF85" s="499"/>
      <c r="GG85" s="499"/>
      <c r="GH85" s="499"/>
      <c r="GI85" s="499"/>
      <c r="GJ85" s="499"/>
      <c r="GK85" s="499"/>
      <c r="GL85" s="499"/>
      <c r="GM85" s="499"/>
      <c r="GN85" s="499"/>
      <c r="GO85" s="499"/>
      <c r="GP85" s="499"/>
      <c r="GQ85" s="499"/>
      <c r="GR85" s="499"/>
      <c r="GS85" s="499"/>
      <c r="GT85" s="499"/>
      <c r="GU85" s="499"/>
      <c r="GV85" s="499"/>
      <c r="GW85" s="499"/>
      <c r="GX85" s="499"/>
      <c r="GY85" s="499"/>
      <c r="GZ85" s="499"/>
      <c r="HA85" s="499"/>
      <c r="HB85" s="499"/>
      <c r="HC85" s="499"/>
      <c r="HD85" s="499"/>
      <c r="HE85" s="499"/>
      <c r="HF85" s="499"/>
      <c r="HG85" s="499"/>
      <c r="HH85" s="499"/>
      <c r="HI85" s="499"/>
      <c r="HJ85" s="499"/>
      <c r="HK85" s="499"/>
      <c r="HL85" s="499"/>
      <c r="HM85" s="499"/>
      <c r="HN85" s="499"/>
      <c r="HO85" s="499"/>
      <c r="HP85" s="499"/>
      <c r="HQ85" s="499"/>
      <c r="HR85" s="499"/>
      <c r="HS85" s="499"/>
      <c r="HT85" s="499"/>
      <c r="HU85" s="499"/>
      <c r="HV85" s="499"/>
      <c r="HW85" s="499"/>
      <c r="HX85" s="499"/>
      <c r="HY85" s="499"/>
      <c r="HZ85" s="499"/>
      <c r="IA85" s="499"/>
      <c r="IB85" s="499"/>
      <c r="IC85" s="499"/>
      <c r="ID85" s="499"/>
      <c r="IE85" s="499"/>
      <c r="IF85" s="499"/>
      <c r="IG85" s="499"/>
      <c r="IH85" s="499"/>
      <c r="II85" s="499"/>
      <c r="IJ85" s="499"/>
      <c r="IK85" s="499"/>
      <c r="IL85" s="499"/>
      <c r="IM85" s="499"/>
      <c r="IN85" s="499"/>
      <c r="IO85" s="499"/>
      <c r="IP85" s="499"/>
      <c r="IQ85" s="499"/>
      <c r="IR85" s="499"/>
      <c r="IS85" s="499"/>
      <c r="IT85" s="499"/>
      <c r="IU85" s="499"/>
      <c r="IV85" s="499"/>
    </row>
    <row r="86" spans="1:256" ht="16.5" customHeight="1">
      <c r="A86" s="2"/>
      <c r="B86" s="521"/>
      <c r="C86" s="24"/>
      <c r="D86" s="24"/>
      <c r="E86" s="878">
        <v>2</v>
      </c>
      <c r="F86" s="1131">
        <v>3</v>
      </c>
      <c r="G86" s="439" t="s">
        <v>2087</v>
      </c>
      <c r="H86" s="641"/>
      <c r="I86" s="641"/>
      <c r="J86" s="642"/>
      <c r="K86" s="2581">
        <v>2</v>
      </c>
      <c r="L86" s="2581">
        <v>1</v>
      </c>
      <c r="M86" s="2582">
        <v>0</v>
      </c>
      <c r="N86" s="24"/>
      <c r="O86" s="121"/>
      <c r="P86" s="527">
        <v>2</v>
      </c>
      <c r="Q86" s="274">
        <v>1</v>
      </c>
      <c r="R86" s="528">
        <v>0</v>
      </c>
      <c r="S86" s="360" t="s">
        <v>407</v>
      </c>
      <c r="T86" s="29"/>
      <c r="U86" s="511"/>
      <c r="X86" s="29"/>
      <c r="Y86" s="499"/>
      <c r="Z86" s="499"/>
      <c r="AA86" s="499"/>
      <c r="AB86" s="499"/>
      <c r="AC86" s="499"/>
      <c r="AD86" s="499"/>
      <c r="AE86" s="499"/>
      <c r="AF86" s="499"/>
      <c r="AG86" s="499"/>
      <c r="AH86" s="499"/>
      <c r="AI86" s="499"/>
      <c r="AJ86" s="499"/>
      <c r="AK86" s="499"/>
      <c r="AL86" s="499"/>
      <c r="AM86" s="499"/>
      <c r="AN86" s="499"/>
      <c r="AO86" s="499"/>
      <c r="AP86" s="499"/>
      <c r="AQ86" s="499"/>
      <c r="AR86" s="499"/>
      <c r="AS86" s="499"/>
      <c r="AT86" s="499"/>
      <c r="AU86" s="499"/>
      <c r="AV86" s="499"/>
      <c r="AW86" s="499"/>
      <c r="AX86" s="499"/>
      <c r="AY86" s="499"/>
      <c r="AZ86" s="499"/>
      <c r="BA86" s="499"/>
      <c r="BB86" s="499"/>
      <c r="BC86" s="499"/>
      <c r="BD86" s="499"/>
      <c r="BE86" s="499"/>
      <c r="BF86" s="499"/>
      <c r="BG86" s="499"/>
      <c r="BH86" s="499"/>
      <c r="BI86" s="499"/>
      <c r="BJ86" s="499"/>
      <c r="BK86" s="499"/>
      <c r="BL86" s="499"/>
      <c r="BM86" s="499"/>
      <c r="BN86" s="499"/>
      <c r="BO86" s="499"/>
      <c r="BP86" s="499"/>
      <c r="BQ86" s="499"/>
      <c r="BR86" s="499"/>
      <c r="BS86" s="499"/>
      <c r="BT86" s="499"/>
      <c r="BU86" s="499"/>
      <c r="BV86" s="499"/>
      <c r="BW86" s="499"/>
      <c r="BX86" s="499"/>
      <c r="BY86" s="499"/>
      <c r="BZ86" s="499"/>
      <c r="CA86" s="499"/>
      <c r="CB86" s="499"/>
      <c r="CC86" s="499"/>
      <c r="CD86" s="499"/>
      <c r="CE86" s="499"/>
      <c r="CF86" s="499"/>
      <c r="CG86" s="499"/>
      <c r="CH86" s="499"/>
      <c r="CI86" s="499"/>
      <c r="CJ86" s="499"/>
      <c r="CK86" s="499"/>
      <c r="CL86" s="499"/>
      <c r="CM86" s="499"/>
      <c r="CN86" s="499"/>
      <c r="CO86" s="499"/>
      <c r="CP86" s="499"/>
      <c r="CQ86" s="499"/>
      <c r="CR86" s="499"/>
      <c r="CS86" s="499"/>
      <c r="CT86" s="499"/>
      <c r="CU86" s="499"/>
      <c r="CV86" s="499"/>
      <c r="CW86" s="499"/>
      <c r="CX86" s="499"/>
      <c r="CY86" s="499"/>
      <c r="CZ86" s="499"/>
      <c r="DA86" s="499"/>
      <c r="DB86" s="499"/>
      <c r="DC86" s="499"/>
      <c r="DD86" s="499"/>
      <c r="DE86" s="499"/>
      <c r="DF86" s="499"/>
      <c r="DG86" s="499"/>
      <c r="DH86" s="499"/>
      <c r="DI86" s="499"/>
      <c r="DJ86" s="499"/>
      <c r="DK86" s="499"/>
      <c r="DL86" s="499"/>
      <c r="DM86" s="499"/>
      <c r="DN86" s="499"/>
      <c r="DO86" s="499"/>
      <c r="DP86" s="499"/>
      <c r="DQ86" s="499"/>
      <c r="DR86" s="499"/>
      <c r="DS86" s="499"/>
      <c r="DT86" s="499"/>
      <c r="DU86" s="499"/>
      <c r="DV86" s="499"/>
      <c r="DW86" s="499"/>
      <c r="DX86" s="499"/>
      <c r="DY86" s="499"/>
      <c r="DZ86" s="499"/>
      <c r="EA86" s="499"/>
      <c r="EB86" s="499"/>
      <c r="EC86" s="499"/>
      <c r="ED86" s="499"/>
      <c r="EE86" s="499"/>
      <c r="EF86" s="499"/>
      <c r="EG86" s="499"/>
      <c r="EH86" s="499"/>
      <c r="EI86" s="499"/>
      <c r="EJ86" s="499"/>
      <c r="EK86" s="499"/>
      <c r="EL86" s="499"/>
      <c r="EM86" s="499"/>
      <c r="EN86" s="499"/>
      <c r="EO86" s="499"/>
      <c r="EP86" s="499"/>
      <c r="EQ86" s="499"/>
      <c r="ER86" s="499"/>
      <c r="ES86" s="499"/>
      <c r="ET86" s="499"/>
      <c r="EU86" s="499"/>
      <c r="EV86" s="499"/>
      <c r="EW86" s="499"/>
      <c r="EX86" s="499"/>
      <c r="EY86" s="499"/>
      <c r="EZ86" s="499"/>
      <c r="FA86" s="499"/>
      <c r="FB86" s="499"/>
      <c r="FC86" s="499"/>
      <c r="FD86" s="499"/>
      <c r="FE86" s="499"/>
      <c r="FF86" s="499"/>
      <c r="FG86" s="499"/>
      <c r="FH86" s="499"/>
      <c r="FI86" s="499"/>
      <c r="FJ86" s="499"/>
      <c r="FK86" s="499"/>
      <c r="FL86" s="499"/>
      <c r="FM86" s="499"/>
      <c r="FN86" s="499"/>
      <c r="FO86" s="499"/>
      <c r="FP86" s="499"/>
      <c r="FQ86" s="499"/>
      <c r="FR86" s="499"/>
      <c r="FS86" s="499"/>
      <c r="FT86" s="499"/>
      <c r="FU86" s="499"/>
      <c r="FV86" s="499"/>
      <c r="FW86" s="499"/>
      <c r="FX86" s="499"/>
      <c r="FY86" s="499"/>
      <c r="FZ86" s="499"/>
      <c r="GA86" s="499"/>
      <c r="GB86" s="499"/>
      <c r="GC86" s="499"/>
      <c r="GD86" s="499"/>
      <c r="GE86" s="499"/>
      <c r="GF86" s="499"/>
      <c r="GG86" s="499"/>
      <c r="GH86" s="499"/>
      <c r="GI86" s="499"/>
      <c r="GJ86" s="499"/>
      <c r="GK86" s="499"/>
      <c r="GL86" s="499"/>
      <c r="GM86" s="499"/>
      <c r="GN86" s="499"/>
      <c r="GO86" s="499"/>
      <c r="GP86" s="499"/>
      <c r="GQ86" s="499"/>
      <c r="GR86" s="499"/>
      <c r="GS86" s="499"/>
      <c r="GT86" s="499"/>
      <c r="GU86" s="499"/>
      <c r="GV86" s="499"/>
      <c r="GW86" s="499"/>
      <c r="GX86" s="499"/>
      <c r="GY86" s="499"/>
      <c r="GZ86" s="499"/>
      <c r="HA86" s="499"/>
      <c r="HB86" s="499"/>
      <c r="HC86" s="499"/>
      <c r="HD86" s="499"/>
      <c r="HE86" s="499"/>
      <c r="HF86" s="499"/>
      <c r="HG86" s="499"/>
      <c r="HH86" s="499"/>
      <c r="HI86" s="499"/>
      <c r="HJ86" s="499"/>
      <c r="HK86" s="499"/>
      <c r="HL86" s="499"/>
      <c r="HM86" s="499"/>
      <c r="HN86" s="499"/>
      <c r="HO86" s="499"/>
      <c r="HP86" s="499"/>
      <c r="HQ86" s="499"/>
      <c r="HR86" s="499"/>
      <c r="HS86" s="499"/>
      <c r="HT86" s="499"/>
      <c r="HU86" s="499"/>
      <c r="HV86" s="499"/>
      <c r="HW86" s="499"/>
      <c r="HX86" s="499"/>
      <c r="HY86" s="499"/>
      <c r="HZ86" s="499"/>
      <c r="IA86" s="499"/>
      <c r="IB86" s="499"/>
      <c r="IC86" s="499"/>
      <c r="ID86" s="499"/>
      <c r="IE86" s="499"/>
      <c r="IF86" s="499"/>
      <c r="IG86" s="499"/>
      <c r="IH86" s="499"/>
      <c r="II86" s="499"/>
      <c r="IJ86" s="499"/>
      <c r="IK86" s="499"/>
      <c r="IL86" s="499"/>
      <c r="IM86" s="499"/>
      <c r="IN86" s="499"/>
      <c r="IO86" s="499"/>
      <c r="IP86" s="499"/>
      <c r="IQ86" s="499"/>
      <c r="IR86" s="499"/>
      <c r="IS86" s="499"/>
      <c r="IT86" s="499"/>
      <c r="IU86" s="499"/>
      <c r="IV86" s="499"/>
    </row>
    <row r="87" spans="1:256" ht="16.5" customHeight="1">
      <c r="A87" s="2"/>
      <c r="B87" s="521"/>
      <c r="C87" s="24"/>
      <c r="D87" s="24"/>
      <c r="E87" s="878">
        <v>0</v>
      </c>
      <c r="F87" s="1131">
        <v>4</v>
      </c>
      <c r="G87" s="439" t="s">
        <v>2086</v>
      </c>
      <c r="H87" s="641"/>
      <c r="I87" s="641"/>
      <c r="J87" s="642"/>
      <c r="K87" s="2581">
        <v>2</v>
      </c>
      <c r="L87" s="2581">
        <v>1</v>
      </c>
      <c r="M87" s="2582">
        <v>0</v>
      </c>
      <c r="N87" s="24"/>
      <c r="O87" s="121"/>
      <c r="P87" s="527">
        <v>2</v>
      </c>
      <c r="Q87" s="274">
        <v>1</v>
      </c>
      <c r="R87" s="528">
        <v>0</v>
      </c>
      <c r="S87" s="360" t="s">
        <v>407</v>
      </c>
      <c r="T87" s="29"/>
      <c r="U87" s="511"/>
      <c r="X87" s="29"/>
      <c r="Y87" s="499"/>
      <c r="Z87" s="499"/>
      <c r="AA87" s="499"/>
      <c r="AB87" s="499"/>
      <c r="AC87" s="499"/>
      <c r="AD87" s="499"/>
      <c r="AE87" s="499"/>
      <c r="AF87" s="499"/>
      <c r="AG87" s="499"/>
      <c r="AH87" s="499"/>
      <c r="AI87" s="499"/>
      <c r="AJ87" s="499"/>
      <c r="AK87" s="499"/>
      <c r="AL87" s="499"/>
      <c r="AM87" s="499"/>
      <c r="AN87" s="499"/>
      <c r="AO87" s="499"/>
      <c r="AP87" s="499"/>
      <c r="AQ87" s="499"/>
      <c r="AR87" s="499"/>
      <c r="AS87" s="499"/>
      <c r="AT87" s="499"/>
      <c r="AU87" s="499"/>
      <c r="AV87" s="499"/>
      <c r="AW87" s="499"/>
      <c r="AX87" s="499"/>
      <c r="AY87" s="499"/>
      <c r="AZ87" s="499"/>
      <c r="BA87" s="499"/>
      <c r="BB87" s="499"/>
      <c r="BC87" s="499"/>
      <c r="BD87" s="499"/>
      <c r="BE87" s="499"/>
      <c r="BF87" s="499"/>
      <c r="BG87" s="499"/>
      <c r="BH87" s="499"/>
      <c r="BI87" s="499"/>
      <c r="BJ87" s="499"/>
      <c r="BK87" s="499"/>
      <c r="BL87" s="499"/>
      <c r="BM87" s="499"/>
      <c r="BN87" s="499"/>
      <c r="BO87" s="499"/>
      <c r="BP87" s="499"/>
      <c r="BQ87" s="499"/>
      <c r="BR87" s="499"/>
      <c r="BS87" s="499"/>
      <c r="BT87" s="499"/>
      <c r="BU87" s="499"/>
      <c r="BV87" s="499"/>
      <c r="BW87" s="499"/>
      <c r="BX87" s="499"/>
      <c r="BY87" s="499"/>
      <c r="BZ87" s="499"/>
      <c r="CA87" s="499"/>
      <c r="CB87" s="499"/>
      <c r="CC87" s="499"/>
      <c r="CD87" s="499"/>
      <c r="CE87" s="499"/>
      <c r="CF87" s="499"/>
      <c r="CG87" s="499"/>
      <c r="CH87" s="499"/>
      <c r="CI87" s="499"/>
      <c r="CJ87" s="499"/>
      <c r="CK87" s="499"/>
      <c r="CL87" s="499"/>
      <c r="CM87" s="499"/>
      <c r="CN87" s="499"/>
      <c r="CO87" s="499"/>
      <c r="CP87" s="499"/>
      <c r="CQ87" s="499"/>
      <c r="CR87" s="499"/>
      <c r="CS87" s="499"/>
      <c r="CT87" s="499"/>
      <c r="CU87" s="499"/>
      <c r="CV87" s="499"/>
      <c r="CW87" s="499"/>
      <c r="CX87" s="499"/>
      <c r="CY87" s="499"/>
      <c r="CZ87" s="499"/>
      <c r="DA87" s="499"/>
      <c r="DB87" s="499"/>
      <c r="DC87" s="499"/>
      <c r="DD87" s="499"/>
      <c r="DE87" s="499"/>
      <c r="DF87" s="499"/>
      <c r="DG87" s="499"/>
      <c r="DH87" s="499"/>
      <c r="DI87" s="499"/>
      <c r="DJ87" s="499"/>
      <c r="DK87" s="499"/>
      <c r="DL87" s="499"/>
      <c r="DM87" s="499"/>
      <c r="DN87" s="499"/>
      <c r="DO87" s="499"/>
      <c r="DP87" s="499"/>
      <c r="DQ87" s="499"/>
      <c r="DR87" s="499"/>
      <c r="DS87" s="499"/>
      <c r="DT87" s="499"/>
      <c r="DU87" s="499"/>
      <c r="DV87" s="499"/>
      <c r="DW87" s="499"/>
      <c r="DX87" s="499"/>
      <c r="DY87" s="499"/>
      <c r="DZ87" s="499"/>
      <c r="EA87" s="499"/>
      <c r="EB87" s="499"/>
      <c r="EC87" s="499"/>
      <c r="ED87" s="499"/>
      <c r="EE87" s="499"/>
      <c r="EF87" s="499"/>
      <c r="EG87" s="499"/>
      <c r="EH87" s="499"/>
      <c r="EI87" s="499"/>
      <c r="EJ87" s="499"/>
      <c r="EK87" s="499"/>
      <c r="EL87" s="499"/>
      <c r="EM87" s="499"/>
      <c r="EN87" s="499"/>
      <c r="EO87" s="499"/>
      <c r="EP87" s="499"/>
      <c r="EQ87" s="499"/>
      <c r="ER87" s="499"/>
      <c r="ES87" s="499"/>
      <c r="ET87" s="499"/>
      <c r="EU87" s="499"/>
      <c r="EV87" s="499"/>
      <c r="EW87" s="499"/>
      <c r="EX87" s="499"/>
      <c r="EY87" s="499"/>
      <c r="EZ87" s="499"/>
      <c r="FA87" s="499"/>
      <c r="FB87" s="499"/>
      <c r="FC87" s="499"/>
      <c r="FD87" s="499"/>
      <c r="FE87" s="499"/>
      <c r="FF87" s="499"/>
      <c r="FG87" s="499"/>
      <c r="FH87" s="499"/>
      <c r="FI87" s="499"/>
      <c r="FJ87" s="499"/>
      <c r="FK87" s="499"/>
      <c r="FL87" s="499"/>
      <c r="FM87" s="499"/>
      <c r="FN87" s="499"/>
      <c r="FO87" s="499"/>
      <c r="FP87" s="499"/>
      <c r="FQ87" s="499"/>
      <c r="FR87" s="499"/>
      <c r="FS87" s="499"/>
      <c r="FT87" s="499"/>
      <c r="FU87" s="499"/>
      <c r="FV87" s="499"/>
      <c r="FW87" s="499"/>
      <c r="FX87" s="499"/>
      <c r="FY87" s="499"/>
      <c r="FZ87" s="499"/>
      <c r="GA87" s="499"/>
      <c r="GB87" s="499"/>
      <c r="GC87" s="499"/>
      <c r="GD87" s="499"/>
      <c r="GE87" s="499"/>
      <c r="GF87" s="499"/>
      <c r="GG87" s="499"/>
      <c r="GH87" s="499"/>
      <c r="GI87" s="499"/>
      <c r="GJ87" s="499"/>
      <c r="GK87" s="499"/>
      <c r="GL87" s="499"/>
      <c r="GM87" s="499"/>
      <c r="GN87" s="499"/>
      <c r="GO87" s="499"/>
      <c r="GP87" s="499"/>
      <c r="GQ87" s="499"/>
      <c r="GR87" s="499"/>
      <c r="GS87" s="499"/>
      <c r="GT87" s="499"/>
      <c r="GU87" s="499"/>
      <c r="GV87" s="499"/>
      <c r="GW87" s="499"/>
      <c r="GX87" s="499"/>
      <c r="GY87" s="499"/>
      <c r="GZ87" s="499"/>
      <c r="HA87" s="499"/>
      <c r="HB87" s="499"/>
      <c r="HC87" s="499"/>
      <c r="HD87" s="499"/>
      <c r="HE87" s="499"/>
      <c r="HF87" s="499"/>
      <c r="HG87" s="499"/>
      <c r="HH87" s="499"/>
      <c r="HI87" s="499"/>
      <c r="HJ87" s="499"/>
      <c r="HK87" s="499"/>
      <c r="HL87" s="499"/>
      <c r="HM87" s="499"/>
      <c r="HN87" s="499"/>
      <c r="HO87" s="499"/>
      <c r="HP87" s="499"/>
      <c r="HQ87" s="499"/>
      <c r="HR87" s="499"/>
      <c r="HS87" s="499"/>
      <c r="HT87" s="499"/>
      <c r="HU87" s="499"/>
      <c r="HV87" s="499"/>
      <c r="HW87" s="499"/>
      <c r="HX87" s="499"/>
      <c r="HY87" s="499"/>
      <c r="HZ87" s="499"/>
      <c r="IA87" s="499"/>
      <c r="IB87" s="499"/>
      <c r="IC87" s="499"/>
      <c r="ID87" s="499"/>
      <c r="IE87" s="499"/>
      <c r="IF87" s="499"/>
      <c r="IG87" s="499"/>
      <c r="IH87" s="499"/>
      <c r="II87" s="499"/>
      <c r="IJ87" s="499"/>
      <c r="IK87" s="499"/>
      <c r="IL87" s="499"/>
      <c r="IM87" s="499"/>
      <c r="IN87" s="499"/>
      <c r="IO87" s="499"/>
      <c r="IP87" s="499"/>
      <c r="IQ87" s="499"/>
      <c r="IR87" s="499"/>
      <c r="IS87" s="499"/>
      <c r="IT87" s="499"/>
      <c r="IU87" s="499"/>
      <c r="IV87" s="499"/>
    </row>
    <row r="88" spans="1:256" ht="16.5" customHeight="1" thickBot="1">
      <c r="A88" s="2"/>
      <c r="B88" s="521"/>
      <c r="C88" s="24"/>
      <c r="D88" s="24"/>
      <c r="E88" s="879">
        <v>2</v>
      </c>
      <c r="F88" s="652">
        <v>5</v>
      </c>
      <c r="G88" s="438" t="s">
        <v>2088</v>
      </c>
      <c r="H88" s="1130"/>
      <c r="I88" s="1130"/>
      <c r="J88" s="1130"/>
      <c r="K88" s="2581">
        <v>2</v>
      </c>
      <c r="L88" s="2581">
        <v>1</v>
      </c>
      <c r="M88" s="2582">
        <v>0</v>
      </c>
      <c r="N88" s="24"/>
      <c r="O88" s="121"/>
      <c r="P88" s="527">
        <v>2</v>
      </c>
      <c r="Q88" s="274">
        <v>1</v>
      </c>
      <c r="R88" s="528">
        <v>0</v>
      </c>
      <c r="S88" s="360" t="s">
        <v>407</v>
      </c>
      <c r="T88" s="29"/>
      <c r="U88" s="511"/>
      <c r="X88" s="29"/>
      <c r="Y88" s="499"/>
      <c r="Z88" s="499"/>
      <c r="AA88" s="499"/>
      <c r="AB88" s="499"/>
      <c r="AC88" s="499"/>
      <c r="AD88" s="499"/>
      <c r="AE88" s="499"/>
      <c r="AF88" s="499"/>
      <c r="AG88" s="499"/>
      <c r="AH88" s="499"/>
      <c r="AI88" s="499"/>
      <c r="AJ88" s="499"/>
      <c r="AK88" s="499"/>
      <c r="AL88" s="499"/>
      <c r="AM88" s="499"/>
      <c r="AN88" s="499"/>
      <c r="AO88" s="499"/>
      <c r="AP88" s="499"/>
      <c r="AQ88" s="499"/>
      <c r="AR88" s="499"/>
      <c r="AS88" s="499"/>
      <c r="AT88" s="499"/>
      <c r="AU88" s="499"/>
      <c r="AV88" s="499"/>
      <c r="AW88" s="499"/>
      <c r="AX88" s="499"/>
      <c r="AY88" s="499"/>
      <c r="AZ88" s="499"/>
      <c r="BA88" s="499"/>
      <c r="BB88" s="499"/>
      <c r="BC88" s="499"/>
      <c r="BD88" s="499"/>
      <c r="BE88" s="499"/>
      <c r="BF88" s="499"/>
      <c r="BG88" s="499"/>
      <c r="BH88" s="499"/>
      <c r="BI88" s="499"/>
      <c r="BJ88" s="499"/>
      <c r="BK88" s="499"/>
      <c r="BL88" s="499"/>
      <c r="BM88" s="499"/>
      <c r="BN88" s="499"/>
      <c r="BO88" s="499"/>
      <c r="BP88" s="499"/>
      <c r="BQ88" s="499"/>
      <c r="BR88" s="499"/>
      <c r="BS88" s="499"/>
      <c r="BT88" s="499"/>
      <c r="BU88" s="499"/>
      <c r="BV88" s="499"/>
      <c r="BW88" s="499"/>
      <c r="BX88" s="499"/>
      <c r="BY88" s="499"/>
      <c r="BZ88" s="499"/>
      <c r="CA88" s="499"/>
      <c r="CB88" s="499"/>
      <c r="CC88" s="499"/>
      <c r="CD88" s="499"/>
      <c r="CE88" s="499"/>
      <c r="CF88" s="499"/>
      <c r="CG88" s="499"/>
      <c r="CH88" s="499"/>
      <c r="CI88" s="499"/>
      <c r="CJ88" s="499"/>
      <c r="CK88" s="499"/>
      <c r="CL88" s="499"/>
      <c r="CM88" s="499"/>
      <c r="CN88" s="499"/>
      <c r="CO88" s="499"/>
      <c r="CP88" s="499"/>
      <c r="CQ88" s="499"/>
      <c r="CR88" s="499"/>
      <c r="CS88" s="499"/>
      <c r="CT88" s="499"/>
      <c r="CU88" s="499"/>
      <c r="CV88" s="499"/>
      <c r="CW88" s="499"/>
      <c r="CX88" s="499"/>
      <c r="CY88" s="499"/>
      <c r="CZ88" s="499"/>
      <c r="DA88" s="499"/>
      <c r="DB88" s="499"/>
      <c r="DC88" s="499"/>
      <c r="DD88" s="499"/>
      <c r="DE88" s="499"/>
      <c r="DF88" s="499"/>
      <c r="DG88" s="499"/>
      <c r="DH88" s="499"/>
      <c r="DI88" s="499"/>
      <c r="DJ88" s="499"/>
      <c r="DK88" s="499"/>
      <c r="DL88" s="499"/>
      <c r="DM88" s="499"/>
      <c r="DN88" s="499"/>
      <c r="DO88" s="499"/>
      <c r="DP88" s="499"/>
      <c r="DQ88" s="499"/>
      <c r="DR88" s="499"/>
      <c r="DS88" s="499"/>
      <c r="DT88" s="499"/>
      <c r="DU88" s="499"/>
      <c r="DV88" s="499"/>
      <c r="DW88" s="499"/>
      <c r="DX88" s="499"/>
      <c r="DY88" s="499"/>
      <c r="DZ88" s="499"/>
      <c r="EA88" s="499"/>
      <c r="EB88" s="499"/>
      <c r="EC88" s="499"/>
      <c r="ED88" s="499"/>
      <c r="EE88" s="499"/>
      <c r="EF88" s="499"/>
      <c r="EG88" s="499"/>
      <c r="EH88" s="499"/>
      <c r="EI88" s="499"/>
      <c r="EJ88" s="499"/>
      <c r="EK88" s="499"/>
      <c r="EL88" s="499"/>
      <c r="EM88" s="499"/>
      <c r="EN88" s="499"/>
      <c r="EO88" s="499"/>
      <c r="EP88" s="499"/>
      <c r="EQ88" s="499"/>
      <c r="ER88" s="499"/>
      <c r="ES88" s="499"/>
      <c r="ET88" s="499"/>
      <c r="EU88" s="499"/>
      <c r="EV88" s="499"/>
      <c r="EW88" s="499"/>
      <c r="EX88" s="499"/>
      <c r="EY88" s="499"/>
      <c r="EZ88" s="499"/>
      <c r="FA88" s="499"/>
      <c r="FB88" s="499"/>
      <c r="FC88" s="499"/>
      <c r="FD88" s="499"/>
      <c r="FE88" s="499"/>
      <c r="FF88" s="499"/>
      <c r="FG88" s="499"/>
      <c r="FH88" s="499"/>
      <c r="FI88" s="499"/>
      <c r="FJ88" s="499"/>
      <c r="FK88" s="499"/>
      <c r="FL88" s="499"/>
      <c r="FM88" s="499"/>
      <c r="FN88" s="499"/>
      <c r="FO88" s="499"/>
      <c r="FP88" s="499"/>
      <c r="FQ88" s="499"/>
      <c r="FR88" s="499"/>
      <c r="FS88" s="499"/>
      <c r="FT88" s="499"/>
      <c r="FU88" s="499"/>
      <c r="FV88" s="499"/>
      <c r="FW88" s="499"/>
      <c r="FX88" s="499"/>
      <c r="FY88" s="499"/>
      <c r="FZ88" s="499"/>
      <c r="GA88" s="499"/>
      <c r="GB88" s="499"/>
      <c r="GC88" s="499"/>
      <c r="GD88" s="499"/>
      <c r="GE88" s="499"/>
      <c r="GF88" s="499"/>
      <c r="GG88" s="499"/>
      <c r="GH88" s="499"/>
      <c r="GI88" s="499"/>
      <c r="GJ88" s="499"/>
      <c r="GK88" s="499"/>
      <c r="GL88" s="499"/>
      <c r="GM88" s="499"/>
      <c r="GN88" s="499"/>
      <c r="GO88" s="499"/>
      <c r="GP88" s="499"/>
      <c r="GQ88" s="499"/>
      <c r="GR88" s="499"/>
      <c r="GS88" s="499"/>
      <c r="GT88" s="499"/>
      <c r="GU88" s="499"/>
      <c r="GV88" s="499"/>
      <c r="GW88" s="499"/>
      <c r="GX88" s="499"/>
      <c r="GY88" s="499"/>
      <c r="GZ88" s="499"/>
      <c r="HA88" s="499"/>
      <c r="HB88" s="499"/>
      <c r="HC88" s="499"/>
      <c r="HD88" s="499"/>
      <c r="HE88" s="499"/>
      <c r="HF88" s="499"/>
      <c r="HG88" s="499"/>
      <c r="HH88" s="499"/>
      <c r="HI88" s="499"/>
      <c r="HJ88" s="499"/>
      <c r="HK88" s="499"/>
      <c r="HL88" s="499"/>
      <c r="HM88" s="499"/>
      <c r="HN88" s="499"/>
      <c r="HO88" s="499"/>
      <c r="HP88" s="499"/>
      <c r="HQ88" s="499"/>
      <c r="HR88" s="499"/>
      <c r="HS88" s="499"/>
      <c r="HT88" s="499"/>
      <c r="HU88" s="499"/>
      <c r="HV88" s="499"/>
      <c r="HW88" s="499"/>
      <c r="HX88" s="499"/>
      <c r="HY88" s="499"/>
      <c r="HZ88" s="499"/>
      <c r="IA88" s="499"/>
      <c r="IB88" s="499"/>
      <c r="IC88" s="499"/>
      <c r="ID88" s="499"/>
      <c r="IE88" s="499"/>
      <c r="IF88" s="499"/>
      <c r="IG88" s="499"/>
      <c r="IH88" s="499"/>
      <c r="II88" s="499"/>
      <c r="IJ88" s="499"/>
      <c r="IK88" s="499"/>
      <c r="IL88" s="499"/>
      <c r="IM88" s="499"/>
      <c r="IN88" s="499"/>
      <c r="IO88" s="499"/>
      <c r="IP88" s="499"/>
      <c r="IQ88" s="499"/>
      <c r="IR88" s="499"/>
      <c r="IS88" s="499"/>
      <c r="IT88" s="499"/>
      <c r="IU88" s="499"/>
      <c r="IV88" s="499"/>
    </row>
    <row r="89" spans="1:256" ht="16.5" customHeight="1">
      <c r="A89" s="2"/>
      <c r="B89" s="332"/>
      <c r="C89" s="505"/>
      <c r="D89" s="505"/>
      <c r="E89" s="849" t="s">
        <v>258</v>
      </c>
      <c r="F89" s="468">
        <f>SUM(E84:E88)</f>
        <v>6</v>
      </c>
      <c r="G89" s="850" t="s">
        <v>809</v>
      </c>
      <c r="H89" s="468">
        <f>SUM(P84:P88)-COUNTIF(E84:E88,S84)*2</f>
        <v>10</v>
      </c>
      <c r="I89" s="3056"/>
      <c r="J89" s="3056"/>
      <c r="K89" s="3057" t="s">
        <v>810</v>
      </c>
      <c r="L89" s="3057"/>
      <c r="M89" s="851">
        <f>F89/H89</f>
        <v>0.6</v>
      </c>
      <c r="N89" s="505"/>
      <c r="O89" s="121"/>
      <c r="P89" s="841"/>
      <c r="Q89" s="121"/>
      <c r="S89" s="29"/>
      <c r="T89" s="29"/>
      <c r="U89" s="841"/>
      <c r="X89" s="29"/>
      <c r="Y89" s="852"/>
      <c r="Z89" s="852"/>
      <c r="AA89" s="852"/>
      <c r="AB89" s="852"/>
      <c r="AC89" s="852"/>
      <c r="AD89" s="852"/>
      <c r="AE89" s="852"/>
      <c r="AF89" s="852"/>
      <c r="AG89" s="852"/>
      <c r="AH89" s="852"/>
      <c r="AI89" s="852"/>
      <c r="AJ89" s="852"/>
      <c r="AK89" s="852"/>
      <c r="AL89" s="852"/>
      <c r="AM89" s="852"/>
      <c r="AN89" s="852"/>
      <c r="AO89" s="852"/>
      <c r="AP89" s="852"/>
      <c r="AQ89" s="852"/>
      <c r="AR89" s="852"/>
      <c r="AS89" s="852"/>
      <c r="AT89" s="852"/>
      <c r="AU89" s="852"/>
      <c r="AV89" s="852"/>
      <c r="AW89" s="852"/>
      <c r="AX89" s="852"/>
      <c r="AY89" s="852"/>
      <c r="AZ89" s="852"/>
      <c r="BA89" s="852"/>
      <c r="BB89" s="852"/>
      <c r="BC89" s="852"/>
      <c r="BD89" s="852"/>
      <c r="BE89" s="852"/>
      <c r="BF89" s="852"/>
      <c r="BG89" s="852"/>
      <c r="BH89" s="852"/>
      <c r="BI89" s="852"/>
      <c r="BJ89" s="852"/>
      <c r="BK89" s="852"/>
      <c r="BL89" s="852"/>
      <c r="BM89" s="852"/>
      <c r="BN89" s="852"/>
      <c r="BO89" s="852"/>
      <c r="BP89" s="852"/>
      <c r="BQ89" s="852"/>
      <c r="BR89" s="852"/>
      <c r="BS89" s="852"/>
      <c r="BT89" s="852"/>
      <c r="BU89" s="852"/>
      <c r="BV89" s="852"/>
      <c r="BW89" s="852"/>
      <c r="BX89" s="852"/>
      <c r="BY89" s="852"/>
      <c r="BZ89" s="852"/>
      <c r="CA89" s="852"/>
      <c r="CB89" s="852"/>
      <c r="CC89" s="852"/>
      <c r="CD89" s="852"/>
      <c r="CE89" s="852"/>
      <c r="CF89" s="852"/>
      <c r="CG89" s="852"/>
      <c r="CH89" s="852"/>
      <c r="CI89" s="852"/>
      <c r="CJ89" s="852"/>
      <c r="CK89" s="852"/>
      <c r="CL89" s="852"/>
      <c r="CM89" s="852"/>
      <c r="CN89" s="852"/>
      <c r="CO89" s="852"/>
      <c r="CP89" s="852"/>
      <c r="CQ89" s="852"/>
      <c r="CR89" s="852"/>
      <c r="CS89" s="852"/>
      <c r="CT89" s="852"/>
      <c r="CU89" s="852"/>
      <c r="CV89" s="852"/>
      <c r="CW89" s="852"/>
      <c r="CX89" s="852"/>
      <c r="CY89" s="852"/>
      <c r="CZ89" s="852"/>
      <c r="DA89" s="852"/>
      <c r="DB89" s="852"/>
      <c r="DC89" s="852"/>
      <c r="DD89" s="852"/>
      <c r="DE89" s="852"/>
      <c r="DF89" s="852"/>
      <c r="DG89" s="852"/>
      <c r="DH89" s="852"/>
      <c r="DI89" s="852"/>
      <c r="DJ89" s="852"/>
      <c r="DK89" s="852"/>
      <c r="DL89" s="852"/>
      <c r="DM89" s="852"/>
      <c r="DN89" s="852"/>
      <c r="DO89" s="852"/>
      <c r="DP89" s="852"/>
      <c r="DQ89" s="852"/>
      <c r="DR89" s="852"/>
      <c r="DS89" s="852"/>
      <c r="DT89" s="852"/>
      <c r="DU89" s="852"/>
      <c r="DV89" s="852"/>
      <c r="DW89" s="852"/>
      <c r="DX89" s="852"/>
      <c r="DY89" s="852"/>
      <c r="DZ89" s="852"/>
      <c r="EA89" s="852"/>
      <c r="EB89" s="852"/>
      <c r="EC89" s="852"/>
      <c r="ED89" s="852"/>
      <c r="EE89" s="852"/>
      <c r="EF89" s="852"/>
      <c r="EG89" s="852"/>
      <c r="EH89" s="852"/>
      <c r="EI89" s="852"/>
      <c r="EJ89" s="852"/>
      <c r="EK89" s="852"/>
      <c r="EL89" s="852"/>
      <c r="EM89" s="852"/>
      <c r="EN89" s="852"/>
      <c r="EO89" s="852"/>
      <c r="EP89" s="852"/>
      <c r="EQ89" s="852"/>
      <c r="ER89" s="852"/>
      <c r="ES89" s="852"/>
      <c r="ET89" s="852"/>
      <c r="EU89" s="852"/>
      <c r="EV89" s="852"/>
      <c r="EW89" s="852"/>
      <c r="EX89" s="852"/>
      <c r="EY89" s="852"/>
      <c r="EZ89" s="852"/>
      <c r="FA89" s="852"/>
      <c r="FB89" s="852"/>
      <c r="FC89" s="852"/>
      <c r="FD89" s="852"/>
      <c r="FE89" s="852"/>
      <c r="FF89" s="852"/>
      <c r="FG89" s="852"/>
      <c r="FH89" s="852"/>
      <c r="FI89" s="852"/>
      <c r="FJ89" s="852"/>
      <c r="FK89" s="852"/>
      <c r="FL89" s="852"/>
      <c r="FM89" s="852"/>
      <c r="FN89" s="852"/>
      <c r="FO89" s="852"/>
      <c r="FP89" s="852"/>
      <c r="FQ89" s="852"/>
      <c r="FR89" s="852"/>
      <c r="FS89" s="852"/>
      <c r="FT89" s="852"/>
      <c r="FU89" s="852"/>
      <c r="FV89" s="852"/>
      <c r="FW89" s="852"/>
      <c r="FX89" s="852"/>
      <c r="FY89" s="852"/>
      <c r="FZ89" s="852"/>
      <c r="GA89" s="852"/>
      <c r="GB89" s="852"/>
      <c r="GC89" s="852"/>
      <c r="GD89" s="852"/>
      <c r="GE89" s="852"/>
      <c r="GF89" s="852"/>
      <c r="GG89" s="852"/>
      <c r="GH89" s="852"/>
      <c r="GI89" s="852"/>
      <c r="GJ89" s="852"/>
      <c r="GK89" s="852"/>
      <c r="GL89" s="852"/>
      <c r="GM89" s="852"/>
      <c r="GN89" s="852"/>
      <c r="GO89" s="852"/>
      <c r="GP89" s="852"/>
      <c r="GQ89" s="852"/>
      <c r="GR89" s="852"/>
      <c r="GS89" s="852"/>
      <c r="GT89" s="852"/>
      <c r="GU89" s="852"/>
      <c r="GV89" s="852"/>
      <c r="GW89" s="852"/>
      <c r="GX89" s="852"/>
      <c r="GY89" s="852"/>
      <c r="GZ89" s="852"/>
      <c r="HA89" s="852"/>
      <c r="HB89" s="852"/>
      <c r="HC89" s="852"/>
      <c r="HD89" s="852"/>
      <c r="HE89" s="852"/>
      <c r="HF89" s="852"/>
      <c r="HG89" s="852"/>
      <c r="HH89" s="852"/>
      <c r="HI89" s="852"/>
      <c r="HJ89" s="852"/>
      <c r="HK89" s="852"/>
      <c r="HL89" s="852"/>
      <c r="HM89" s="852"/>
      <c r="HN89" s="852"/>
      <c r="HO89" s="852"/>
      <c r="HP89" s="852"/>
      <c r="HQ89" s="852"/>
      <c r="HR89" s="852"/>
      <c r="HS89" s="852"/>
      <c r="HT89" s="852"/>
      <c r="HU89" s="852"/>
      <c r="HV89" s="852"/>
      <c r="HW89" s="852"/>
      <c r="HX89" s="852"/>
      <c r="HY89" s="852"/>
      <c r="HZ89" s="852"/>
      <c r="IA89" s="852"/>
      <c r="IB89" s="852"/>
      <c r="IC89" s="852"/>
      <c r="ID89" s="852"/>
      <c r="IE89" s="852"/>
      <c r="IF89" s="852"/>
      <c r="IG89" s="852"/>
      <c r="IH89" s="852"/>
      <c r="II89" s="852"/>
      <c r="IJ89" s="852"/>
      <c r="IK89" s="852"/>
      <c r="IL89" s="852"/>
      <c r="IM89" s="852"/>
      <c r="IN89" s="852"/>
      <c r="IO89" s="852"/>
      <c r="IP89" s="852"/>
      <c r="IQ89" s="852"/>
      <c r="IR89" s="852"/>
      <c r="IS89" s="852"/>
      <c r="IT89" s="852"/>
      <c r="IU89" s="852"/>
      <c r="IV89" s="852"/>
    </row>
    <row r="90" spans="1:256" ht="16.5" customHeight="1" thickBot="1">
      <c r="A90" s="2"/>
      <c r="B90" s="521"/>
      <c r="C90" s="24"/>
      <c r="D90" s="24"/>
      <c r="E90" s="874" t="s">
        <v>376</v>
      </c>
      <c r="F90" s="24"/>
      <c r="G90" s="24"/>
      <c r="H90" s="24"/>
      <c r="I90" s="24"/>
      <c r="J90" s="24"/>
      <c r="K90" s="24"/>
      <c r="L90" s="24"/>
      <c r="M90" s="24"/>
      <c r="N90" s="24"/>
      <c r="O90" s="121"/>
      <c r="P90" s="511"/>
      <c r="Q90" s="121"/>
      <c r="S90" s="29"/>
      <c r="T90" s="29"/>
      <c r="U90" s="511"/>
      <c r="X90" s="29"/>
      <c r="Y90" s="499"/>
      <c r="Z90" s="499"/>
      <c r="AA90" s="499"/>
      <c r="AB90" s="499"/>
      <c r="AC90" s="499"/>
      <c r="AD90" s="499"/>
      <c r="AE90" s="499"/>
      <c r="AF90" s="499"/>
      <c r="AG90" s="499"/>
      <c r="AH90" s="499"/>
      <c r="AI90" s="499"/>
      <c r="AJ90" s="499"/>
      <c r="AK90" s="499"/>
      <c r="AL90" s="499"/>
      <c r="AM90" s="499"/>
      <c r="AN90" s="499"/>
      <c r="AO90" s="499"/>
      <c r="AP90" s="499"/>
      <c r="AQ90" s="499"/>
      <c r="AR90" s="499"/>
      <c r="AS90" s="499"/>
      <c r="AT90" s="499"/>
      <c r="AU90" s="499"/>
      <c r="AV90" s="499"/>
      <c r="AW90" s="499"/>
      <c r="AX90" s="499"/>
      <c r="AY90" s="499"/>
      <c r="AZ90" s="499"/>
      <c r="BA90" s="499"/>
      <c r="BB90" s="499"/>
      <c r="BC90" s="499"/>
      <c r="BD90" s="499"/>
      <c r="BE90" s="499"/>
      <c r="BF90" s="499"/>
      <c r="BG90" s="499"/>
      <c r="BH90" s="499"/>
      <c r="BI90" s="499"/>
      <c r="BJ90" s="499"/>
      <c r="BK90" s="499"/>
      <c r="BL90" s="499"/>
      <c r="BM90" s="499"/>
      <c r="BN90" s="499"/>
      <c r="BO90" s="499"/>
      <c r="BP90" s="499"/>
      <c r="BQ90" s="499"/>
      <c r="BR90" s="499"/>
      <c r="BS90" s="499"/>
      <c r="BT90" s="499"/>
      <c r="BU90" s="499"/>
      <c r="BV90" s="499"/>
      <c r="BW90" s="499"/>
      <c r="BX90" s="499"/>
      <c r="BY90" s="499"/>
      <c r="BZ90" s="499"/>
      <c r="CA90" s="499"/>
      <c r="CB90" s="499"/>
      <c r="CC90" s="499"/>
      <c r="CD90" s="499"/>
      <c r="CE90" s="499"/>
      <c r="CF90" s="499"/>
      <c r="CG90" s="499"/>
      <c r="CH90" s="499"/>
      <c r="CI90" s="499"/>
      <c r="CJ90" s="499"/>
      <c r="CK90" s="499"/>
      <c r="CL90" s="499"/>
      <c r="CM90" s="499"/>
      <c r="CN90" s="499"/>
      <c r="CO90" s="499"/>
      <c r="CP90" s="499"/>
      <c r="CQ90" s="499"/>
      <c r="CR90" s="499"/>
      <c r="CS90" s="499"/>
      <c r="CT90" s="499"/>
      <c r="CU90" s="499"/>
      <c r="CV90" s="499"/>
      <c r="CW90" s="499"/>
      <c r="CX90" s="499"/>
      <c r="CY90" s="499"/>
      <c r="CZ90" s="499"/>
      <c r="DA90" s="499"/>
      <c r="DB90" s="499"/>
      <c r="DC90" s="499"/>
      <c r="DD90" s="499"/>
      <c r="DE90" s="499"/>
      <c r="DF90" s="499"/>
      <c r="DG90" s="499"/>
      <c r="DH90" s="499"/>
      <c r="DI90" s="499"/>
      <c r="DJ90" s="499"/>
      <c r="DK90" s="499"/>
      <c r="DL90" s="499"/>
      <c r="DM90" s="499"/>
      <c r="DN90" s="499"/>
      <c r="DO90" s="499"/>
      <c r="DP90" s="499"/>
      <c r="DQ90" s="499"/>
      <c r="DR90" s="499"/>
      <c r="DS90" s="499"/>
      <c r="DT90" s="499"/>
      <c r="DU90" s="499"/>
      <c r="DV90" s="499"/>
      <c r="DW90" s="499"/>
      <c r="DX90" s="499"/>
      <c r="DY90" s="499"/>
      <c r="DZ90" s="499"/>
      <c r="EA90" s="499"/>
      <c r="EB90" s="499"/>
      <c r="EC90" s="499"/>
      <c r="ED90" s="499"/>
      <c r="EE90" s="499"/>
      <c r="EF90" s="499"/>
      <c r="EG90" s="499"/>
      <c r="EH90" s="499"/>
      <c r="EI90" s="499"/>
      <c r="EJ90" s="499"/>
      <c r="EK90" s="499"/>
      <c r="EL90" s="499"/>
      <c r="EM90" s="499"/>
      <c r="EN90" s="499"/>
      <c r="EO90" s="499"/>
      <c r="EP90" s="499"/>
      <c r="EQ90" s="499"/>
      <c r="ER90" s="499"/>
      <c r="ES90" s="499"/>
      <c r="ET90" s="499"/>
      <c r="EU90" s="499"/>
      <c r="EV90" s="499"/>
      <c r="EW90" s="499"/>
      <c r="EX90" s="499"/>
      <c r="EY90" s="499"/>
      <c r="EZ90" s="499"/>
      <c r="FA90" s="499"/>
      <c r="FB90" s="499"/>
      <c r="FC90" s="499"/>
      <c r="FD90" s="499"/>
      <c r="FE90" s="499"/>
      <c r="FF90" s="499"/>
      <c r="FG90" s="499"/>
      <c r="FH90" s="499"/>
      <c r="FI90" s="499"/>
      <c r="FJ90" s="499"/>
      <c r="FK90" s="499"/>
      <c r="FL90" s="499"/>
      <c r="FM90" s="499"/>
      <c r="FN90" s="499"/>
      <c r="FO90" s="499"/>
      <c r="FP90" s="499"/>
      <c r="FQ90" s="499"/>
      <c r="FR90" s="499"/>
      <c r="FS90" s="499"/>
      <c r="FT90" s="499"/>
      <c r="FU90" s="499"/>
      <c r="FV90" s="499"/>
      <c r="FW90" s="499"/>
      <c r="FX90" s="499"/>
      <c r="FY90" s="499"/>
      <c r="FZ90" s="499"/>
      <c r="GA90" s="499"/>
      <c r="GB90" s="499"/>
      <c r="GC90" s="499"/>
      <c r="GD90" s="499"/>
      <c r="GE90" s="499"/>
      <c r="GF90" s="499"/>
      <c r="GG90" s="499"/>
      <c r="GH90" s="499"/>
      <c r="GI90" s="499"/>
      <c r="GJ90" s="499"/>
      <c r="GK90" s="499"/>
      <c r="GL90" s="499"/>
      <c r="GM90" s="499"/>
      <c r="GN90" s="499"/>
      <c r="GO90" s="499"/>
      <c r="GP90" s="499"/>
      <c r="GQ90" s="499"/>
      <c r="GR90" s="499"/>
      <c r="GS90" s="499"/>
      <c r="GT90" s="499"/>
      <c r="GU90" s="499"/>
      <c r="GV90" s="499"/>
      <c r="GW90" s="499"/>
      <c r="GX90" s="499"/>
      <c r="GY90" s="499"/>
      <c r="GZ90" s="499"/>
      <c r="HA90" s="499"/>
      <c r="HB90" s="499"/>
      <c r="HC90" s="499"/>
      <c r="HD90" s="499"/>
      <c r="HE90" s="499"/>
      <c r="HF90" s="499"/>
      <c r="HG90" s="499"/>
      <c r="HH90" s="499"/>
      <c r="HI90" s="499"/>
      <c r="HJ90" s="499"/>
      <c r="HK90" s="499"/>
      <c r="HL90" s="499"/>
      <c r="HM90" s="499"/>
      <c r="HN90" s="499"/>
      <c r="HO90" s="499"/>
      <c r="HP90" s="499"/>
      <c r="HQ90" s="499"/>
      <c r="HR90" s="499"/>
      <c r="HS90" s="499"/>
      <c r="HT90" s="499"/>
      <c r="HU90" s="499"/>
      <c r="HV90" s="499"/>
      <c r="HW90" s="499"/>
      <c r="HX90" s="499"/>
      <c r="HY90" s="499"/>
      <c r="HZ90" s="499"/>
      <c r="IA90" s="499"/>
      <c r="IB90" s="499"/>
      <c r="IC90" s="499"/>
      <c r="ID90" s="499"/>
      <c r="IE90" s="499"/>
      <c r="IF90" s="499"/>
      <c r="IG90" s="499"/>
      <c r="IH90" s="499"/>
      <c r="II90" s="499"/>
      <c r="IJ90" s="499"/>
      <c r="IK90" s="499"/>
      <c r="IL90" s="499"/>
      <c r="IM90" s="499"/>
      <c r="IN90" s="499"/>
      <c r="IO90" s="499"/>
      <c r="IP90" s="499"/>
      <c r="IQ90" s="499"/>
      <c r="IR90" s="499"/>
      <c r="IS90" s="499"/>
      <c r="IT90" s="499"/>
      <c r="IU90" s="499"/>
      <c r="IV90" s="499"/>
    </row>
    <row r="91" spans="1:256" ht="16.5" customHeight="1" thickBot="1">
      <c r="A91" s="2"/>
      <c r="B91" s="137"/>
      <c r="C91" s="27"/>
      <c r="D91" s="30"/>
      <c r="E91" s="808"/>
      <c r="F91" s="807" t="s">
        <v>2089</v>
      </c>
      <c r="G91" s="457"/>
      <c r="H91" s="458"/>
      <c r="I91" s="458"/>
      <c r="J91" s="458"/>
      <c r="K91" s="458"/>
      <c r="L91" s="458"/>
      <c r="M91" s="446"/>
      <c r="N91" s="2"/>
      <c r="P91" s="511"/>
      <c r="T91" s="499"/>
      <c r="U91" s="511"/>
    </row>
    <row r="92" spans="1:256" ht="16.5" customHeight="1">
      <c r="A92" s="2"/>
      <c r="B92" s="137"/>
      <c r="C92" s="27"/>
      <c r="D92" s="30"/>
      <c r="E92" s="661"/>
      <c r="F92" s="444"/>
      <c r="G92" s="444"/>
      <c r="H92" s="444"/>
      <c r="I92" s="444"/>
      <c r="J92" s="444"/>
      <c r="K92" s="444" t="s">
        <v>400</v>
      </c>
      <c r="L92" s="873">
        <f>IF(E91="過半",2)+IF(E91="一部",1)</f>
        <v>0</v>
      </c>
      <c r="M92" s="443" t="s">
        <v>401</v>
      </c>
      <c r="N92" s="2"/>
      <c r="P92"/>
      <c r="Q92"/>
      <c r="T92" s="499"/>
      <c r="U92" s="511"/>
    </row>
    <row r="93" spans="1:256" s="29" customFormat="1" ht="8.25" customHeight="1">
      <c r="A93" s="19"/>
      <c r="B93" s="137"/>
      <c r="C93" s="504"/>
      <c r="D93" s="270"/>
      <c r="E93" s="270"/>
      <c r="F93" s="2"/>
      <c r="G93" s="2"/>
      <c r="H93" s="2"/>
      <c r="I93" s="2"/>
      <c r="J93" s="2"/>
      <c r="K93" s="2"/>
      <c r="L93" s="2"/>
      <c r="M93" s="2"/>
      <c r="N93" s="22"/>
      <c r="P93"/>
      <c r="Q93"/>
      <c r="R93" s="4"/>
      <c r="S93" s="4"/>
      <c r="T93" s="113"/>
    </row>
    <row r="94" spans="1:256" s="29" customFormat="1" ht="21" customHeight="1">
      <c r="A94" s="19"/>
      <c r="B94" s="137"/>
      <c r="C94" s="504"/>
      <c r="E94" s="646" t="s">
        <v>3</v>
      </c>
      <c r="F94" s="647"/>
      <c r="G94" s="2441"/>
      <c r="H94" s="2442"/>
      <c r="I94" s="990"/>
      <c r="J94" s="990"/>
      <c r="K94" s="990"/>
      <c r="L94" s="990"/>
      <c r="M94" s="991"/>
      <c r="N94" s="22"/>
      <c r="P94"/>
      <c r="Q94"/>
      <c r="R94" s="4"/>
      <c r="S94" s="4"/>
      <c r="T94" s="113"/>
      <c r="U94" s="511"/>
      <c r="V94" s="113"/>
      <c r="W94" s="113"/>
      <c r="X94" s="113"/>
      <c r="Y94" s="113"/>
    </row>
    <row r="95" spans="1:256" ht="14.25" customHeight="1">
      <c r="A95" s="2"/>
      <c r="B95" s="521"/>
      <c r="C95" s="24"/>
      <c r="D95" s="24"/>
      <c r="E95" s="24"/>
      <c r="F95" s="24"/>
      <c r="G95" s="24"/>
      <c r="H95" s="24"/>
      <c r="I95" s="24"/>
      <c r="J95" s="24"/>
      <c r="K95" s="24"/>
      <c r="L95" s="24"/>
      <c r="M95" s="24"/>
      <c r="N95" s="24"/>
      <c r="O95" s="121"/>
      <c r="P95" s="511"/>
      <c r="Q95" s="121"/>
      <c r="S95" s="29"/>
      <c r="T95" s="29"/>
      <c r="U95" s="511"/>
      <c r="X95" s="29"/>
      <c r="Y95" s="499"/>
      <c r="Z95" s="499"/>
      <c r="AA95" s="499"/>
      <c r="AB95" s="499"/>
      <c r="AC95" s="499"/>
      <c r="AD95" s="499"/>
      <c r="AE95" s="499"/>
      <c r="AF95" s="499"/>
      <c r="AG95" s="499"/>
      <c r="AH95" s="499"/>
      <c r="AI95" s="499"/>
      <c r="AJ95" s="499"/>
      <c r="AK95" s="499"/>
      <c r="AL95" s="499"/>
      <c r="AM95" s="499"/>
      <c r="AN95" s="499"/>
      <c r="AO95" s="499"/>
      <c r="AP95" s="499"/>
      <c r="AQ95" s="499"/>
      <c r="AR95" s="499"/>
      <c r="AS95" s="499"/>
      <c r="AT95" s="499"/>
      <c r="AU95" s="499"/>
      <c r="AV95" s="499"/>
      <c r="AW95" s="499"/>
      <c r="AX95" s="499"/>
      <c r="AY95" s="499"/>
      <c r="AZ95" s="499"/>
      <c r="BA95" s="499"/>
      <c r="BB95" s="499"/>
      <c r="BC95" s="499"/>
      <c r="BD95" s="499"/>
      <c r="BE95" s="499"/>
      <c r="BF95" s="499"/>
      <c r="BG95" s="499"/>
      <c r="BH95" s="499"/>
      <c r="BI95" s="499"/>
      <c r="BJ95" s="499"/>
      <c r="BK95" s="499"/>
      <c r="BL95" s="499"/>
      <c r="BM95" s="499"/>
      <c r="BN95" s="499"/>
      <c r="BO95" s="499"/>
      <c r="BP95" s="499"/>
      <c r="BQ95" s="499"/>
      <c r="BR95" s="499"/>
      <c r="BS95" s="499"/>
      <c r="BT95" s="499"/>
      <c r="BU95" s="499"/>
      <c r="BV95" s="499"/>
      <c r="BW95" s="499"/>
      <c r="BX95" s="499"/>
      <c r="BY95" s="499"/>
      <c r="BZ95" s="499"/>
      <c r="CA95" s="499"/>
      <c r="CB95" s="499"/>
      <c r="CC95" s="499"/>
      <c r="CD95" s="499"/>
      <c r="CE95" s="499"/>
      <c r="CF95" s="499"/>
      <c r="CG95" s="499"/>
      <c r="CH95" s="499"/>
      <c r="CI95" s="499"/>
      <c r="CJ95" s="499"/>
      <c r="CK95" s="499"/>
      <c r="CL95" s="499"/>
      <c r="CM95" s="499"/>
      <c r="CN95" s="499"/>
      <c r="CO95" s="499"/>
      <c r="CP95" s="499"/>
      <c r="CQ95" s="499"/>
      <c r="CR95" s="499"/>
      <c r="CS95" s="499"/>
      <c r="CT95" s="499"/>
      <c r="CU95" s="499"/>
      <c r="CV95" s="499"/>
      <c r="CW95" s="499"/>
      <c r="CX95" s="499"/>
      <c r="CY95" s="499"/>
      <c r="CZ95" s="499"/>
      <c r="DA95" s="499"/>
      <c r="DB95" s="499"/>
      <c r="DC95" s="499"/>
      <c r="DD95" s="499"/>
      <c r="DE95" s="499"/>
      <c r="DF95" s="499"/>
      <c r="DG95" s="499"/>
      <c r="DH95" s="499"/>
      <c r="DI95" s="499"/>
      <c r="DJ95" s="499"/>
      <c r="DK95" s="499"/>
      <c r="DL95" s="499"/>
      <c r="DM95" s="499"/>
      <c r="DN95" s="499"/>
      <c r="DO95" s="499"/>
      <c r="DP95" s="499"/>
      <c r="DQ95" s="499"/>
      <c r="DR95" s="499"/>
      <c r="DS95" s="499"/>
      <c r="DT95" s="499"/>
      <c r="DU95" s="499"/>
      <c r="DV95" s="499"/>
      <c r="DW95" s="499"/>
      <c r="DX95" s="499"/>
      <c r="DY95" s="499"/>
      <c r="DZ95" s="499"/>
      <c r="EA95" s="499"/>
      <c r="EB95" s="499"/>
      <c r="EC95" s="499"/>
      <c r="ED95" s="499"/>
      <c r="EE95" s="499"/>
      <c r="EF95" s="499"/>
      <c r="EG95" s="499"/>
      <c r="EH95" s="499"/>
      <c r="EI95" s="499"/>
      <c r="EJ95" s="499"/>
      <c r="EK95" s="499"/>
      <c r="EL95" s="499"/>
      <c r="EM95" s="499"/>
      <c r="EN95" s="499"/>
      <c r="EO95" s="499"/>
      <c r="EP95" s="499"/>
      <c r="EQ95" s="499"/>
      <c r="ER95" s="499"/>
      <c r="ES95" s="499"/>
      <c r="ET95" s="499"/>
      <c r="EU95" s="499"/>
      <c r="EV95" s="499"/>
      <c r="EW95" s="499"/>
      <c r="EX95" s="499"/>
      <c r="EY95" s="499"/>
      <c r="EZ95" s="499"/>
      <c r="FA95" s="499"/>
      <c r="FB95" s="499"/>
      <c r="FC95" s="499"/>
      <c r="FD95" s="499"/>
      <c r="FE95" s="499"/>
      <c r="FF95" s="499"/>
      <c r="FG95" s="499"/>
      <c r="FH95" s="499"/>
      <c r="FI95" s="499"/>
      <c r="FJ95" s="499"/>
      <c r="FK95" s="499"/>
      <c r="FL95" s="499"/>
      <c r="FM95" s="499"/>
      <c r="FN95" s="499"/>
      <c r="FO95" s="499"/>
      <c r="FP95" s="499"/>
      <c r="FQ95" s="499"/>
      <c r="FR95" s="499"/>
      <c r="FS95" s="499"/>
      <c r="FT95" s="499"/>
      <c r="FU95" s="499"/>
      <c r="FV95" s="499"/>
      <c r="FW95" s="499"/>
      <c r="FX95" s="499"/>
      <c r="FY95" s="499"/>
      <c r="FZ95" s="499"/>
      <c r="GA95" s="499"/>
      <c r="GB95" s="499"/>
      <c r="GC95" s="499"/>
      <c r="GD95" s="499"/>
      <c r="GE95" s="499"/>
      <c r="GF95" s="499"/>
      <c r="GG95" s="499"/>
      <c r="GH95" s="499"/>
      <c r="GI95" s="499"/>
      <c r="GJ95" s="499"/>
      <c r="GK95" s="499"/>
      <c r="GL95" s="499"/>
      <c r="GM95" s="499"/>
      <c r="GN95" s="499"/>
      <c r="GO95" s="499"/>
      <c r="GP95" s="499"/>
      <c r="GQ95" s="499"/>
      <c r="GR95" s="499"/>
      <c r="GS95" s="499"/>
      <c r="GT95" s="499"/>
      <c r="GU95" s="499"/>
      <c r="GV95" s="499"/>
      <c r="GW95" s="499"/>
      <c r="GX95" s="499"/>
      <c r="GY95" s="499"/>
      <c r="GZ95" s="499"/>
      <c r="HA95" s="499"/>
      <c r="HB95" s="499"/>
      <c r="HC95" s="499"/>
      <c r="HD95" s="499"/>
      <c r="HE95" s="499"/>
      <c r="HF95" s="499"/>
      <c r="HG95" s="499"/>
      <c r="HH95" s="499"/>
      <c r="HI95" s="499"/>
      <c r="HJ95" s="499"/>
      <c r="HK95" s="499"/>
      <c r="HL95" s="499"/>
      <c r="HM95" s="499"/>
      <c r="HN95" s="499"/>
      <c r="HO95" s="499"/>
      <c r="HP95" s="499"/>
      <c r="HQ95" s="499"/>
      <c r="HR95" s="499"/>
      <c r="HS95" s="499"/>
      <c r="HT95" s="499"/>
      <c r="HU95" s="499"/>
      <c r="HV95" s="499"/>
      <c r="HW95" s="499"/>
      <c r="HX95" s="499"/>
      <c r="HY95" s="499"/>
      <c r="HZ95" s="499"/>
      <c r="IA95" s="499"/>
      <c r="IB95" s="499"/>
      <c r="IC95" s="499"/>
      <c r="ID95" s="499"/>
      <c r="IE95" s="499"/>
      <c r="IF95" s="499"/>
      <c r="IG95" s="499"/>
      <c r="IH95" s="499"/>
      <c r="II95" s="499"/>
      <c r="IJ95" s="499"/>
      <c r="IK95" s="499"/>
      <c r="IL95" s="499"/>
      <c r="IM95" s="499"/>
      <c r="IN95" s="499"/>
      <c r="IO95" s="499"/>
      <c r="IP95" s="499"/>
      <c r="IQ95" s="499"/>
      <c r="IR95" s="499"/>
      <c r="IS95" s="499"/>
      <c r="IT95" s="499"/>
      <c r="IU95" s="499"/>
      <c r="IV95" s="499"/>
    </row>
    <row r="96" spans="1:256" s="15" customFormat="1" ht="14.25" customHeight="1" thickBot="1">
      <c r="A96" s="13"/>
      <c r="B96" s="513">
        <v>1.4</v>
      </c>
      <c r="C96" s="23" t="s">
        <v>543</v>
      </c>
      <c r="D96" s="23"/>
      <c r="E96" s="22"/>
      <c r="F96" s="271"/>
      <c r="G96" s="22"/>
      <c r="H96" s="22"/>
      <c r="I96" s="24"/>
      <c r="J96" s="24"/>
      <c r="K96" s="24"/>
      <c r="L96" s="24"/>
      <c r="M96" s="24"/>
      <c r="N96" s="13"/>
      <c r="O96" s="113"/>
      <c r="V96" s="113"/>
      <c r="W96" s="113"/>
      <c r="X96" s="113"/>
      <c r="Y96" s="113"/>
    </row>
    <row r="97" spans="1:256" ht="16.5" customHeight="1" thickBot="1">
      <c r="A97" s="2"/>
      <c r="B97" s="521"/>
      <c r="C97" s="24"/>
      <c r="D97" s="866">
        <f>IF(D98+L116&lt;=5,D98+L116,5)</f>
        <v>3</v>
      </c>
      <c r="E97" s="23"/>
      <c r="F97" s="22"/>
      <c r="I97" s="24"/>
      <c r="J97" s="24"/>
      <c r="K97" s="24"/>
      <c r="L97" s="148" t="s">
        <v>2</v>
      </c>
      <c r="M97" s="145">
        <f>重み!M87</f>
        <v>0.2</v>
      </c>
      <c r="N97" s="2"/>
      <c r="O97" s="29">
        <f>C97</f>
        <v>0</v>
      </c>
      <c r="P97" s="29">
        <f>D97</f>
        <v>3</v>
      </c>
      <c r="Q97" s="29">
        <f>E97</f>
        <v>0</v>
      </c>
      <c r="R97" s="29">
        <f>F97</f>
        <v>0</v>
      </c>
      <c r="S97" s="29" t="str">
        <f>L97</f>
        <v>重み係数＝</v>
      </c>
      <c r="T97" s="29">
        <f>M97</f>
        <v>0.2</v>
      </c>
      <c r="U97" s="29">
        <f>I97</f>
        <v>0</v>
      </c>
      <c r="V97" s="29">
        <f>J97</f>
        <v>0</v>
      </c>
      <c r="W97" s="29">
        <f>K97</f>
        <v>0</v>
      </c>
      <c r="X97" s="29" t="e">
        <f>#REF!</f>
        <v>#REF!</v>
      </c>
      <c r="Y97" s="113"/>
    </row>
    <row r="98" spans="1:256" ht="16.5" customHeight="1" thickBot="1">
      <c r="A98" s="2"/>
      <c r="B98" s="521"/>
      <c r="C98" s="24"/>
      <c r="D98" s="864">
        <f>IF(M113&lt;0.4,1,IF(M113&lt;0.6,3,IF(M113&lt;0.8,4,5)))</f>
        <v>3</v>
      </c>
      <c r="E98" s="2934" t="s">
        <v>415</v>
      </c>
      <c r="F98" s="2935"/>
      <c r="G98" s="2935"/>
      <c r="H98" s="2935"/>
      <c r="I98" s="2935"/>
      <c r="J98" s="2935"/>
      <c r="K98" s="2935"/>
      <c r="L98" s="2935"/>
      <c r="M98" s="2936"/>
      <c r="N98" s="2"/>
      <c r="O98" s="121"/>
      <c r="P98" s="29"/>
      <c r="Q98" s="121"/>
      <c r="R98" s="29"/>
      <c r="S98" s="29"/>
      <c r="T98" s="29"/>
      <c r="U98" s="29"/>
      <c r="V98" s="29"/>
      <c r="W98" s="29"/>
      <c r="X98" s="29"/>
    </row>
    <row r="99" spans="1:256" ht="16.5" customHeight="1">
      <c r="A99" s="2"/>
      <c r="B99" s="521"/>
      <c r="C99" s="24"/>
      <c r="D99" s="25" t="str">
        <f>IF(D98=$Q$18,$R$13,IF(ROUNDDOWN(D98,0)=$Q$13,$S$13,$R$13))</f>
        <v>　レベル　1</v>
      </c>
      <c r="E99" s="438" t="s">
        <v>337</v>
      </c>
      <c r="F99" s="487"/>
      <c r="G99" s="487"/>
      <c r="H99" s="487"/>
      <c r="I99" s="487"/>
      <c r="J99" s="487"/>
      <c r="K99" s="487"/>
      <c r="L99" s="487"/>
      <c r="M99" s="488"/>
      <c r="N99" s="2"/>
      <c r="O99" s="121"/>
      <c r="P99" s="491">
        <f>$Q$13</f>
        <v>1</v>
      </c>
      <c r="Q99" s="121"/>
      <c r="S99" s="29"/>
      <c r="T99" s="29"/>
      <c r="U99" s="491">
        <f>$Q$13</f>
        <v>1</v>
      </c>
      <c r="X99" s="29"/>
    </row>
    <row r="100" spans="1:256" ht="16.5" customHeight="1">
      <c r="A100" s="2"/>
      <c r="B100" s="521"/>
      <c r="C100" s="24"/>
      <c r="D100" s="28" t="str">
        <f>IF(D98=$Q$18,$R$14,IF(ROUNDDOWN(D98,0)=$Q$14,$S$14,$R$14))</f>
        <v>　レベル　2</v>
      </c>
      <c r="E100" s="439" t="s">
        <v>665</v>
      </c>
      <c r="F100" s="489"/>
      <c r="G100" s="489"/>
      <c r="H100" s="489"/>
      <c r="I100" s="489"/>
      <c r="J100" s="489"/>
      <c r="K100" s="489"/>
      <c r="L100" s="489"/>
      <c r="M100" s="490"/>
      <c r="N100" s="2"/>
      <c r="O100" s="121"/>
      <c r="P100" s="491" t="s">
        <v>55</v>
      </c>
      <c r="Q100" s="121"/>
      <c r="S100" s="29"/>
      <c r="T100" s="29"/>
      <c r="U100" s="491">
        <f>$Q$14</f>
        <v>2</v>
      </c>
      <c r="X100" s="29"/>
    </row>
    <row r="101" spans="1:256" ht="16.5" customHeight="1">
      <c r="A101" s="2"/>
      <c r="B101" s="521"/>
      <c r="C101" s="24"/>
      <c r="D101" s="28" t="str">
        <f>IF(D98=$Q$18,$R$15,IF(ROUNDDOWN(D98,0)=$Q$15,$S$15,$R$15))</f>
        <v>■レベル　3</v>
      </c>
      <c r="E101" s="439" t="s">
        <v>22</v>
      </c>
      <c r="F101" s="489"/>
      <c r="G101" s="489"/>
      <c r="H101" s="489"/>
      <c r="I101" s="489"/>
      <c r="J101" s="489"/>
      <c r="K101" s="489"/>
      <c r="L101" s="489"/>
      <c r="M101" s="490"/>
      <c r="N101" s="2"/>
      <c r="O101" s="121"/>
      <c r="P101" s="491">
        <f>$Q$15</f>
        <v>3</v>
      </c>
      <c r="Q101" s="121"/>
      <c r="S101" s="29"/>
      <c r="T101" s="29"/>
      <c r="U101" s="491">
        <f>$Q$15</f>
        <v>3</v>
      </c>
      <c r="X101" s="29"/>
    </row>
    <row r="102" spans="1:256" ht="16.5" customHeight="1">
      <c r="A102" s="2"/>
      <c r="B102" s="521"/>
      <c r="C102" s="24"/>
      <c r="D102" s="28" t="str">
        <f>IF(D98=$Q$18,$R$16,IF(ROUNDDOWN(D98,0)=$Q$16,$S$16,$R$16))</f>
        <v>　レベル　4</v>
      </c>
      <c r="E102" s="451" t="s">
        <v>23</v>
      </c>
      <c r="F102" s="2630"/>
      <c r="G102" s="2630"/>
      <c r="H102" s="2630"/>
      <c r="I102" s="2630"/>
      <c r="J102" s="2630"/>
      <c r="K102" s="2630"/>
      <c r="L102" s="2630"/>
      <c r="M102" s="2631"/>
      <c r="N102" s="2"/>
      <c r="O102" s="121"/>
      <c r="P102" s="491">
        <f>$Q$16</f>
        <v>4</v>
      </c>
      <c r="Q102" s="121"/>
      <c r="S102" s="29"/>
      <c r="T102" s="29"/>
      <c r="U102" s="491">
        <f>$Q$16</f>
        <v>4</v>
      </c>
      <c r="X102" s="29"/>
    </row>
    <row r="103" spans="1:256" ht="16.5" customHeight="1">
      <c r="A103" s="2"/>
      <c r="B103" s="521"/>
      <c r="C103" s="24"/>
      <c r="D103" s="26" t="str">
        <f>IF(D98=$Q$18,$R$17,IF(ROUNDDOWN(D98,0)=$Q$17,$S$17,$R$17))</f>
        <v>　レベル　5</v>
      </c>
      <c r="E103" s="473" t="s">
        <v>24</v>
      </c>
      <c r="F103" s="2632"/>
      <c r="G103" s="2632"/>
      <c r="H103" s="2632"/>
      <c r="I103" s="2632"/>
      <c r="J103" s="2632"/>
      <c r="K103" s="2632"/>
      <c r="L103" s="2632"/>
      <c r="M103" s="2633"/>
      <c r="N103" s="2"/>
      <c r="O103" s="121"/>
      <c r="P103" s="491">
        <f>$Q$17</f>
        <v>5</v>
      </c>
      <c r="Q103" s="121"/>
      <c r="S103" s="29"/>
      <c r="T103" s="29"/>
      <c r="U103" s="491">
        <f>$Q$17</f>
        <v>5</v>
      </c>
      <c r="X103" s="29"/>
    </row>
    <row r="104" spans="1:256" ht="16.5" customHeight="1">
      <c r="A104" s="2"/>
      <c r="B104" s="521"/>
      <c r="C104" s="24"/>
      <c r="D104" s="24"/>
      <c r="E104" s="127" t="s">
        <v>423</v>
      </c>
      <c r="F104" s="21"/>
      <c r="G104" s="21"/>
      <c r="H104" s="21"/>
      <c r="I104" s="21"/>
      <c r="J104" s="21"/>
      <c r="K104" s="21"/>
      <c r="L104" s="22"/>
      <c r="M104" s="22"/>
      <c r="N104" s="24"/>
      <c r="O104" s="121"/>
      <c r="P104" s="491" t="s">
        <v>68</v>
      </c>
      <c r="Q104" s="284" t="s">
        <v>87</v>
      </c>
      <c r="S104" s="29"/>
      <c r="T104" s="29"/>
      <c r="U104" s="491" t="str">
        <f>$Q$18</f>
        <v>対象外</v>
      </c>
      <c r="X104" s="29"/>
      <c r="Y104" s="499"/>
      <c r="Z104" s="499"/>
      <c r="AA104" s="499"/>
      <c r="AB104" s="499"/>
      <c r="AC104" s="499"/>
      <c r="AD104" s="499"/>
      <c r="AE104" s="499"/>
      <c r="AF104" s="499"/>
      <c r="AG104" s="499"/>
      <c r="AH104" s="499"/>
      <c r="AI104" s="499"/>
      <c r="AJ104" s="499"/>
      <c r="AK104" s="499"/>
      <c r="AL104" s="499"/>
      <c r="AM104" s="499"/>
      <c r="AN104" s="499"/>
      <c r="AO104" s="499"/>
      <c r="AP104" s="499"/>
      <c r="AQ104" s="499"/>
      <c r="AR104" s="499"/>
      <c r="AS104" s="499"/>
      <c r="AT104" s="499"/>
      <c r="AU104" s="499"/>
      <c r="AV104" s="499"/>
      <c r="AW104" s="499"/>
      <c r="AX104" s="499"/>
      <c r="AY104" s="499"/>
      <c r="AZ104" s="499"/>
      <c r="BA104" s="499"/>
      <c r="BB104" s="499"/>
      <c r="BC104" s="499"/>
      <c r="BD104" s="499"/>
      <c r="BE104" s="499"/>
      <c r="BF104" s="499"/>
      <c r="BG104" s="499"/>
      <c r="BH104" s="499"/>
      <c r="BI104" s="499"/>
      <c r="BJ104" s="499"/>
      <c r="BK104" s="499"/>
      <c r="BL104" s="499"/>
      <c r="BM104" s="499"/>
      <c r="BN104" s="499"/>
      <c r="BO104" s="499"/>
      <c r="BP104" s="499"/>
      <c r="BQ104" s="499"/>
      <c r="BR104" s="499"/>
      <c r="BS104" s="499"/>
      <c r="BT104" s="499"/>
      <c r="BU104" s="499"/>
      <c r="BV104" s="499"/>
      <c r="BW104" s="499"/>
      <c r="BX104" s="499"/>
      <c r="BY104" s="499"/>
      <c r="BZ104" s="499"/>
      <c r="CA104" s="499"/>
      <c r="CB104" s="499"/>
      <c r="CC104" s="499"/>
      <c r="CD104" s="499"/>
      <c r="CE104" s="499"/>
      <c r="CF104" s="499"/>
      <c r="CG104" s="499"/>
      <c r="CH104" s="499"/>
      <c r="CI104" s="499"/>
      <c r="CJ104" s="499"/>
      <c r="CK104" s="499"/>
      <c r="CL104" s="499"/>
      <c r="CM104" s="499"/>
      <c r="CN104" s="499"/>
      <c r="CO104" s="499"/>
      <c r="CP104" s="499"/>
      <c r="CQ104" s="499"/>
      <c r="CR104" s="499"/>
      <c r="CS104" s="499"/>
      <c r="CT104" s="499"/>
      <c r="CU104" s="499"/>
      <c r="CV104" s="499"/>
      <c r="CW104" s="499"/>
      <c r="CX104" s="499"/>
      <c r="CY104" s="499"/>
      <c r="CZ104" s="499"/>
      <c r="DA104" s="499"/>
      <c r="DB104" s="499"/>
      <c r="DC104" s="499"/>
      <c r="DD104" s="499"/>
      <c r="DE104" s="499"/>
      <c r="DF104" s="499"/>
      <c r="DG104" s="499"/>
      <c r="DH104" s="499"/>
      <c r="DI104" s="499"/>
      <c r="DJ104" s="499"/>
      <c r="DK104" s="499"/>
      <c r="DL104" s="499"/>
      <c r="DM104" s="499"/>
      <c r="DN104" s="499"/>
      <c r="DO104" s="499"/>
      <c r="DP104" s="499"/>
      <c r="DQ104" s="499"/>
      <c r="DR104" s="499"/>
      <c r="DS104" s="499"/>
      <c r="DT104" s="499"/>
      <c r="DU104" s="499"/>
      <c r="DV104" s="499"/>
      <c r="DW104" s="499"/>
      <c r="DX104" s="499"/>
      <c r="DY104" s="499"/>
      <c r="DZ104" s="499"/>
      <c r="EA104" s="499"/>
      <c r="EB104" s="499"/>
      <c r="EC104" s="499"/>
      <c r="ED104" s="499"/>
      <c r="EE104" s="499"/>
      <c r="EF104" s="499"/>
      <c r="EG104" s="499"/>
      <c r="EH104" s="499"/>
      <c r="EI104" s="499"/>
      <c r="EJ104" s="499"/>
      <c r="EK104" s="499"/>
      <c r="EL104" s="499"/>
      <c r="EM104" s="499"/>
      <c r="EN104" s="499"/>
      <c r="EO104" s="499"/>
      <c r="EP104" s="499"/>
      <c r="EQ104" s="499"/>
      <c r="ER104" s="499"/>
      <c r="ES104" s="499"/>
      <c r="ET104" s="499"/>
      <c r="EU104" s="499"/>
      <c r="EV104" s="499"/>
      <c r="EW104" s="499"/>
      <c r="EX104" s="499"/>
      <c r="EY104" s="499"/>
      <c r="EZ104" s="499"/>
      <c r="FA104" s="499"/>
      <c r="FB104" s="499"/>
      <c r="FC104" s="499"/>
      <c r="FD104" s="499"/>
      <c r="FE104" s="499"/>
      <c r="FF104" s="499"/>
      <c r="FG104" s="499"/>
      <c r="FH104" s="499"/>
      <c r="FI104" s="499"/>
      <c r="FJ104" s="499"/>
      <c r="FK104" s="499"/>
      <c r="FL104" s="499"/>
      <c r="FM104" s="499"/>
      <c r="FN104" s="499"/>
      <c r="FO104" s="499"/>
      <c r="FP104" s="499"/>
      <c r="FQ104" s="499"/>
      <c r="FR104" s="499"/>
      <c r="FS104" s="499"/>
      <c r="FT104" s="499"/>
      <c r="FU104" s="499"/>
      <c r="FV104" s="499"/>
      <c r="FW104" s="499"/>
      <c r="FX104" s="499"/>
      <c r="FY104" s="499"/>
      <c r="FZ104" s="499"/>
      <c r="GA104" s="499"/>
      <c r="GB104" s="499"/>
      <c r="GC104" s="499"/>
      <c r="GD104" s="499"/>
      <c r="GE104" s="499"/>
      <c r="GF104" s="499"/>
      <c r="GG104" s="499"/>
      <c r="GH104" s="499"/>
      <c r="GI104" s="499"/>
      <c r="GJ104" s="499"/>
      <c r="GK104" s="499"/>
      <c r="GL104" s="499"/>
      <c r="GM104" s="499"/>
      <c r="GN104" s="499"/>
      <c r="GO104" s="499"/>
      <c r="GP104" s="499"/>
      <c r="GQ104" s="499"/>
      <c r="GR104" s="499"/>
      <c r="GS104" s="499"/>
      <c r="GT104" s="499"/>
      <c r="GU104" s="499"/>
      <c r="GV104" s="499"/>
      <c r="GW104" s="499"/>
      <c r="GX104" s="499"/>
      <c r="GY104" s="499"/>
      <c r="GZ104" s="499"/>
      <c r="HA104" s="499"/>
      <c r="HB104" s="499"/>
      <c r="HC104" s="499"/>
      <c r="HD104" s="499"/>
      <c r="HE104" s="499"/>
      <c r="HF104" s="499"/>
      <c r="HG104" s="499"/>
      <c r="HH104" s="499"/>
      <c r="HI104" s="499"/>
      <c r="HJ104" s="499"/>
      <c r="HK104" s="499"/>
      <c r="HL104" s="499"/>
      <c r="HM104" s="499"/>
      <c r="HN104" s="499"/>
      <c r="HO104" s="499"/>
      <c r="HP104" s="499"/>
      <c r="HQ104" s="499"/>
      <c r="HR104" s="499"/>
      <c r="HS104" s="499"/>
      <c r="HT104" s="499"/>
      <c r="HU104" s="499"/>
      <c r="HV104" s="499"/>
      <c r="HW104" s="499"/>
      <c r="HX104" s="499"/>
      <c r="HY104" s="499"/>
      <c r="HZ104" s="499"/>
      <c r="IA104" s="499"/>
      <c r="IB104" s="499"/>
      <c r="IC104" s="499"/>
      <c r="ID104" s="499"/>
      <c r="IE104" s="499"/>
      <c r="IF104" s="499"/>
      <c r="IG104" s="499"/>
      <c r="IH104" s="499"/>
      <c r="II104" s="499"/>
      <c r="IJ104" s="499"/>
      <c r="IK104" s="499"/>
      <c r="IL104" s="499"/>
      <c r="IM104" s="499"/>
      <c r="IN104" s="499"/>
      <c r="IO104" s="499"/>
      <c r="IP104" s="499"/>
      <c r="IQ104" s="499"/>
      <c r="IR104" s="499"/>
      <c r="IS104" s="499"/>
      <c r="IT104" s="499"/>
      <c r="IU104" s="499"/>
      <c r="IV104" s="499"/>
    </row>
    <row r="105" spans="1:256" ht="16.5" customHeight="1">
      <c r="A105" s="2"/>
      <c r="B105" s="521"/>
      <c r="C105" s="24"/>
      <c r="D105" s="24"/>
      <c r="E105" s="119" t="s">
        <v>351</v>
      </c>
      <c r="F105" s="482" t="s">
        <v>78</v>
      </c>
      <c r="G105" s="461" t="s">
        <v>80</v>
      </c>
      <c r="H105" s="462"/>
      <c r="I105" s="462"/>
      <c r="J105" s="463"/>
      <c r="K105" s="424"/>
      <c r="L105" s="325" t="s">
        <v>854</v>
      </c>
      <c r="M105" s="425"/>
      <c r="N105" s="24"/>
      <c r="O105" s="121"/>
      <c r="P105" s="511"/>
      <c r="Q105" s="121"/>
      <c r="S105" s="29"/>
      <c r="T105" s="29"/>
      <c r="U105" s="511"/>
      <c r="X105" s="29"/>
      <c r="Y105" s="499"/>
      <c r="Z105" s="499"/>
      <c r="AA105" s="499"/>
      <c r="AB105" s="499"/>
      <c r="AC105" s="499"/>
      <c r="AD105" s="499"/>
      <c r="AE105" s="499"/>
      <c r="AF105" s="499"/>
      <c r="AG105" s="499"/>
      <c r="AH105" s="499"/>
      <c r="AI105" s="499"/>
      <c r="AJ105" s="499"/>
      <c r="AK105" s="499"/>
      <c r="AL105" s="499"/>
      <c r="AM105" s="499"/>
      <c r="AN105" s="499"/>
      <c r="AO105" s="499"/>
      <c r="AP105" s="499"/>
      <c r="AQ105" s="499"/>
      <c r="AR105" s="499"/>
      <c r="AS105" s="499"/>
      <c r="AT105" s="499"/>
      <c r="AU105" s="499"/>
      <c r="AV105" s="499"/>
      <c r="AW105" s="499"/>
      <c r="AX105" s="499"/>
      <c r="AY105" s="499"/>
      <c r="AZ105" s="499"/>
      <c r="BA105" s="499"/>
      <c r="BB105" s="499"/>
      <c r="BC105" s="499"/>
      <c r="BD105" s="499"/>
      <c r="BE105" s="499"/>
      <c r="BF105" s="499"/>
      <c r="BG105" s="499"/>
      <c r="BH105" s="499"/>
      <c r="BI105" s="499"/>
      <c r="BJ105" s="499"/>
      <c r="BK105" s="499"/>
      <c r="BL105" s="499"/>
      <c r="BM105" s="499"/>
      <c r="BN105" s="499"/>
      <c r="BO105" s="499"/>
      <c r="BP105" s="499"/>
      <c r="BQ105" s="499"/>
      <c r="BR105" s="499"/>
      <c r="BS105" s="499"/>
      <c r="BT105" s="499"/>
      <c r="BU105" s="499"/>
      <c r="BV105" s="499"/>
      <c r="BW105" s="499"/>
      <c r="BX105" s="499"/>
      <c r="BY105" s="499"/>
      <c r="BZ105" s="499"/>
      <c r="CA105" s="499"/>
      <c r="CB105" s="499"/>
      <c r="CC105" s="499"/>
      <c r="CD105" s="499"/>
      <c r="CE105" s="499"/>
      <c r="CF105" s="499"/>
      <c r="CG105" s="499"/>
      <c r="CH105" s="499"/>
      <c r="CI105" s="499"/>
      <c r="CJ105" s="499"/>
      <c r="CK105" s="499"/>
      <c r="CL105" s="499"/>
      <c r="CM105" s="499"/>
      <c r="CN105" s="499"/>
      <c r="CO105" s="499"/>
      <c r="CP105" s="499"/>
      <c r="CQ105" s="499"/>
      <c r="CR105" s="499"/>
      <c r="CS105" s="499"/>
      <c r="CT105" s="499"/>
      <c r="CU105" s="499"/>
      <c r="CV105" s="499"/>
      <c r="CW105" s="499"/>
      <c r="CX105" s="499"/>
      <c r="CY105" s="499"/>
      <c r="CZ105" s="499"/>
      <c r="DA105" s="499"/>
      <c r="DB105" s="499"/>
      <c r="DC105" s="499"/>
      <c r="DD105" s="499"/>
      <c r="DE105" s="499"/>
      <c r="DF105" s="499"/>
      <c r="DG105" s="499"/>
      <c r="DH105" s="499"/>
      <c r="DI105" s="499"/>
      <c r="DJ105" s="499"/>
      <c r="DK105" s="499"/>
      <c r="DL105" s="499"/>
      <c r="DM105" s="499"/>
      <c r="DN105" s="499"/>
      <c r="DO105" s="499"/>
      <c r="DP105" s="499"/>
      <c r="DQ105" s="499"/>
      <c r="DR105" s="499"/>
      <c r="DS105" s="499"/>
      <c r="DT105" s="499"/>
      <c r="DU105" s="499"/>
      <c r="DV105" s="499"/>
      <c r="DW105" s="499"/>
      <c r="DX105" s="499"/>
      <c r="DY105" s="499"/>
      <c r="DZ105" s="499"/>
      <c r="EA105" s="499"/>
      <c r="EB105" s="499"/>
      <c r="EC105" s="499"/>
      <c r="ED105" s="499"/>
      <c r="EE105" s="499"/>
      <c r="EF105" s="499"/>
      <c r="EG105" s="499"/>
      <c r="EH105" s="499"/>
      <c r="EI105" s="499"/>
      <c r="EJ105" s="499"/>
      <c r="EK105" s="499"/>
      <c r="EL105" s="499"/>
      <c r="EM105" s="499"/>
      <c r="EN105" s="499"/>
      <c r="EO105" s="499"/>
      <c r="EP105" s="499"/>
      <c r="EQ105" s="499"/>
      <c r="ER105" s="499"/>
      <c r="ES105" s="499"/>
      <c r="ET105" s="499"/>
      <c r="EU105" s="499"/>
      <c r="EV105" s="499"/>
      <c r="EW105" s="499"/>
      <c r="EX105" s="499"/>
      <c r="EY105" s="499"/>
      <c r="EZ105" s="499"/>
      <c r="FA105" s="499"/>
      <c r="FB105" s="499"/>
      <c r="FC105" s="499"/>
      <c r="FD105" s="499"/>
      <c r="FE105" s="499"/>
      <c r="FF105" s="499"/>
      <c r="FG105" s="499"/>
      <c r="FH105" s="499"/>
      <c r="FI105" s="499"/>
      <c r="FJ105" s="499"/>
      <c r="FK105" s="499"/>
      <c r="FL105" s="499"/>
      <c r="FM105" s="499"/>
      <c r="FN105" s="499"/>
      <c r="FO105" s="499"/>
      <c r="FP105" s="499"/>
      <c r="FQ105" s="499"/>
      <c r="FR105" s="499"/>
      <c r="FS105" s="499"/>
      <c r="FT105" s="499"/>
      <c r="FU105" s="499"/>
      <c r="FV105" s="499"/>
      <c r="FW105" s="499"/>
      <c r="FX105" s="499"/>
      <c r="FY105" s="499"/>
      <c r="FZ105" s="499"/>
      <c r="GA105" s="499"/>
      <c r="GB105" s="499"/>
      <c r="GC105" s="499"/>
      <c r="GD105" s="499"/>
      <c r="GE105" s="499"/>
      <c r="GF105" s="499"/>
      <c r="GG105" s="499"/>
      <c r="GH105" s="499"/>
      <c r="GI105" s="499"/>
      <c r="GJ105" s="499"/>
      <c r="GK105" s="499"/>
      <c r="GL105" s="499"/>
      <c r="GM105" s="499"/>
      <c r="GN105" s="499"/>
      <c r="GO105" s="499"/>
      <c r="GP105" s="499"/>
      <c r="GQ105" s="499"/>
      <c r="GR105" s="499"/>
      <c r="GS105" s="499"/>
      <c r="GT105" s="499"/>
      <c r="GU105" s="499"/>
      <c r="GV105" s="499"/>
      <c r="GW105" s="499"/>
      <c r="GX105" s="499"/>
      <c r="GY105" s="499"/>
      <c r="GZ105" s="499"/>
      <c r="HA105" s="499"/>
      <c r="HB105" s="499"/>
      <c r="HC105" s="499"/>
      <c r="HD105" s="499"/>
      <c r="HE105" s="499"/>
      <c r="HF105" s="499"/>
      <c r="HG105" s="499"/>
      <c r="HH105" s="499"/>
      <c r="HI105" s="499"/>
      <c r="HJ105" s="499"/>
      <c r="HK105" s="499"/>
      <c r="HL105" s="499"/>
      <c r="HM105" s="499"/>
      <c r="HN105" s="499"/>
      <c r="HO105" s="499"/>
      <c r="HP105" s="499"/>
      <c r="HQ105" s="499"/>
      <c r="HR105" s="499"/>
      <c r="HS105" s="499"/>
      <c r="HT105" s="499"/>
      <c r="HU105" s="499"/>
      <c r="HV105" s="499"/>
      <c r="HW105" s="499"/>
      <c r="HX105" s="499"/>
      <c r="HY105" s="499"/>
      <c r="HZ105" s="499"/>
      <c r="IA105" s="499"/>
      <c r="IB105" s="499"/>
      <c r="IC105" s="499"/>
      <c r="ID105" s="499"/>
      <c r="IE105" s="499"/>
      <c r="IF105" s="499"/>
      <c r="IG105" s="499"/>
      <c r="IH105" s="499"/>
      <c r="II105" s="499"/>
      <c r="IJ105" s="499"/>
      <c r="IK105" s="499"/>
      <c r="IL105" s="499"/>
      <c r="IM105" s="499"/>
      <c r="IN105" s="499"/>
      <c r="IO105" s="499"/>
      <c r="IP105" s="499"/>
      <c r="IQ105" s="499"/>
      <c r="IR105" s="499"/>
      <c r="IS105" s="499"/>
      <c r="IT105" s="499"/>
      <c r="IU105" s="499"/>
      <c r="IV105" s="499"/>
    </row>
    <row r="106" spans="1:256" ht="16.5" customHeight="1" thickBot="1">
      <c r="A106" s="2"/>
      <c r="B106" s="521"/>
      <c r="C106" s="24"/>
      <c r="D106" s="24"/>
      <c r="E106" s="529"/>
      <c r="F106" s="523"/>
      <c r="G106" s="524"/>
      <c r="H106" s="525"/>
      <c r="I106" s="525"/>
      <c r="J106" s="526"/>
      <c r="K106" s="497" t="s">
        <v>849</v>
      </c>
      <c r="L106" s="497" t="s">
        <v>850</v>
      </c>
      <c r="M106" s="523" t="s">
        <v>851</v>
      </c>
      <c r="N106" s="24"/>
      <c r="O106" s="121"/>
      <c r="P106" s="511"/>
      <c r="Q106" s="121"/>
      <c r="S106" s="29"/>
      <c r="T106" s="29"/>
      <c r="U106" s="511"/>
      <c r="X106" s="29"/>
      <c r="Y106" s="499"/>
      <c r="Z106" s="499"/>
      <c r="AA106" s="499"/>
      <c r="AB106" s="499"/>
      <c r="AC106" s="499"/>
      <c r="AD106" s="499"/>
      <c r="AE106" s="499"/>
      <c r="AF106" s="499"/>
      <c r="AG106" s="499"/>
      <c r="AH106" s="499"/>
      <c r="AI106" s="499"/>
      <c r="AJ106" s="499"/>
      <c r="AK106" s="499"/>
      <c r="AL106" s="499"/>
      <c r="AM106" s="499"/>
      <c r="AN106" s="499"/>
      <c r="AO106" s="499"/>
      <c r="AP106" s="499"/>
      <c r="AQ106" s="499"/>
      <c r="AR106" s="499"/>
      <c r="AS106" s="499"/>
      <c r="AT106" s="499"/>
      <c r="AU106" s="499"/>
      <c r="AV106" s="499"/>
      <c r="AW106" s="499"/>
      <c r="AX106" s="499"/>
      <c r="AY106" s="499"/>
      <c r="AZ106" s="499"/>
      <c r="BA106" s="499"/>
      <c r="BB106" s="499"/>
      <c r="BC106" s="499"/>
      <c r="BD106" s="499"/>
      <c r="BE106" s="499"/>
      <c r="BF106" s="499"/>
      <c r="BG106" s="499"/>
      <c r="BH106" s="499"/>
      <c r="BI106" s="499"/>
      <c r="BJ106" s="499"/>
      <c r="BK106" s="499"/>
      <c r="BL106" s="499"/>
      <c r="BM106" s="499"/>
      <c r="BN106" s="499"/>
      <c r="BO106" s="499"/>
      <c r="BP106" s="499"/>
      <c r="BQ106" s="499"/>
      <c r="BR106" s="499"/>
      <c r="BS106" s="499"/>
      <c r="BT106" s="499"/>
      <c r="BU106" s="499"/>
      <c r="BV106" s="499"/>
      <c r="BW106" s="499"/>
      <c r="BX106" s="499"/>
      <c r="BY106" s="499"/>
      <c r="BZ106" s="499"/>
      <c r="CA106" s="499"/>
      <c r="CB106" s="499"/>
      <c r="CC106" s="499"/>
      <c r="CD106" s="499"/>
      <c r="CE106" s="499"/>
      <c r="CF106" s="499"/>
      <c r="CG106" s="499"/>
      <c r="CH106" s="499"/>
      <c r="CI106" s="499"/>
      <c r="CJ106" s="499"/>
      <c r="CK106" s="499"/>
      <c r="CL106" s="499"/>
      <c r="CM106" s="499"/>
      <c r="CN106" s="499"/>
      <c r="CO106" s="499"/>
      <c r="CP106" s="499"/>
      <c r="CQ106" s="499"/>
      <c r="CR106" s="499"/>
      <c r="CS106" s="499"/>
      <c r="CT106" s="499"/>
      <c r="CU106" s="499"/>
      <c r="CV106" s="499"/>
      <c r="CW106" s="499"/>
      <c r="CX106" s="499"/>
      <c r="CY106" s="499"/>
      <c r="CZ106" s="499"/>
      <c r="DA106" s="499"/>
      <c r="DB106" s="499"/>
      <c r="DC106" s="499"/>
      <c r="DD106" s="499"/>
      <c r="DE106" s="499"/>
      <c r="DF106" s="499"/>
      <c r="DG106" s="499"/>
      <c r="DH106" s="499"/>
      <c r="DI106" s="499"/>
      <c r="DJ106" s="499"/>
      <c r="DK106" s="499"/>
      <c r="DL106" s="499"/>
      <c r="DM106" s="499"/>
      <c r="DN106" s="499"/>
      <c r="DO106" s="499"/>
      <c r="DP106" s="499"/>
      <c r="DQ106" s="499"/>
      <c r="DR106" s="499"/>
      <c r="DS106" s="499"/>
      <c r="DT106" s="499"/>
      <c r="DU106" s="499"/>
      <c r="DV106" s="499"/>
      <c r="DW106" s="499"/>
      <c r="DX106" s="499"/>
      <c r="DY106" s="499"/>
      <c r="DZ106" s="499"/>
      <c r="EA106" s="499"/>
      <c r="EB106" s="499"/>
      <c r="EC106" s="499"/>
      <c r="ED106" s="499"/>
      <c r="EE106" s="499"/>
      <c r="EF106" s="499"/>
      <c r="EG106" s="499"/>
      <c r="EH106" s="499"/>
      <c r="EI106" s="499"/>
      <c r="EJ106" s="499"/>
      <c r="EK106" s="499"/>
      <c r="EL106" s="499"/>
      <c r="EM106" s="499"/>
      <c r="EN106" s="499"/>
      <c r="EO106" s="499"/>
      <c r="EP106" s="499"/>
      <c r="EQ106" s="499"/>
      <c r="ER106" s="499"/>
      <c r="ES106" s="499"/>
      <c r="ET106" s="499"/>
      <c r="EU106" s="499"/>
      <c r="EV106" s="499"/>
      <c r="EW106" s="499"/>
      <c r="EX106" s="499"/>
      <c r="EY106" s="499"/>
      <c r="EZ106" s="499"/>
      <c r="FA106" s="499"/>
      <c r="FB106" s="499"/>
      <c r="FC106" s="499"/>
      <c r="FD106" s="499"/>
      <c r="FE106" s="499"/>
      <c r="FF106" s="499"/>
      <c r="FG106" s="499"/>
      <c r="FH106" s="499"/>
      <c r="FI106" s="499"/>
      <c r="FJ106" s="499"/>
      <c r="FK106" s="499"/>
      <c r="FL106" s="499"/>
      <c r="FM106" s="499"/>
      <c r="FN106" s="499"/>
      <c r="FO106" s="499"/>
      <c r="FP106" s="499"/>
      <c r="FQ106" s="499"/>
      <c r="FR106" s="499"/>
      <c r="FS106" s="499"/>
      <c r="FT106" s="499"/>
      <c r="FU106" s="499"/>
      <c r="FV106" s="499"/>
      <c r="FW106" s="499"/>
      <c r="FX106" s="499"/>
      <c r="FY106" s="499"/>
      <c r="FZ106" s="499"/>
      <c r="GA106" s="499"/>
      <c r="GB106" s="499"/>
      <c r="GC106" s="499"/>
      <c r="GD106" s="499"/>
      <c r="GE106" s="499"/>
      <c r="GF106" s="499"/>
      <c r="GG106" s="499"/>
      <c r="GH106" s="499"/>
      <c r="GI106" s="499"/>
      <c r="GJ106" s="499"/>
      <c r="GK106" s="499"/>
      <c r="GL106" s="499"/>
      <c r="GM106" s="499"/>
      <c r="GN106" s="499"/>
      <c r="GO106" s="499"/>
      <c r="GP106" s="499"/>
      <c r="GQ106" s="499"/>
      <c r="GR106" s="499"/>
      <c r="GS106" s="499"/>
      <c r="GT106" s="499"/>
      <c r="GU106" s="499"/>
      <c r="GV106" s="499"/>
      <c r="GW106" s="499"/>
      <c r="GX106" s="499"/>
      <c r="GY106" s="499"/>
      <c r="GZ106" s="499"/>
      <c r="HA106" s="499"/>
      <c r="HB106" s="499"/>
      <c r="HC106" s="499"/>
      <c r="HD106" s="499"/>
      <c r="HE106" s="499"/>
      <c r="HF106" s="499"/>
      <c r="HG106" s="499"/>
      <c r="HH106" s="499"/>
      <c r="HI106" s="499"/>
      <c r="HJ106" s="499"/>
      <c r="HK106" s="499"/>
      <c r="HL106" s="499"/>
      <c r="HM106" s="499"/>
      <c r="HN106" s="499"/>
      <c r="HO106" s="499"/>
      <c r="HP106" s="499"/>
      <c r="HQ106" s="499"/>
      <c r="HR106" s="499"/>
      <c r="HS106" s="499"/>
      <c r="HT106" s="499"/>
      <c r="HU106" s="499"/>
      <c r="HV106" s="499"/>
      <c r="HW106" s="499"/>
      <c r="HX106" s="499"/>
      <c r="HY106" s="499"/>
      <c r="HZ106" s="499"/>
      <c r="IA106" s="499"/>
      <c r="IB106" s="499"/>
      <c r="IC106" s="499"/>
      <c r="ID106" s="499"/>
      <c r="IE106" s="499"/>
      <c r="IF106" s="499"/>
      <c r="IG106" s="499"/>
      <c r="IH106" s="499"/>
      <c r="II106" s="499"/>
      <c r="IJ106" s="499"/>
      <c r="IK106" s="499"/>
      <c r="IL106" s="499"/>
      <c r="IM106" s="499"/>
      <c r="IN106" s="499"/>
      <c r="IO106" s="499"/>
      <c r="IP106" s="499"/>
      <c r="IQ106" s="499"/>
      <c r="IR106" s="499"/>
      <c r="IS106" s="499"/>
      <c r="IT106" s="499"/>
      <c r="IU106" s="499"/>
      <c r="IV106" s="499"/>
    </row>
    <row r="107" spans="1:256" ht="16.5" customHeight="1">
      <c r="A107" s="2"/>
      <c r="B107" s="521"/>
      <c r="C107" s="24"/>
      <c r="D107" s="24"/>
      <c r="E107" s="876">
        <v>0</v>
      </c>
      <c r="F107" s="1132">
        <v>1</v>
      </c>
      <c r="G107" s="496" t="s">
        <v>2090</v>
      </c>
      <c r="H107" s="481"/>
      <c r="I107" s="481"/>
      <c r="J107" s="445"/>
      <c r="K107" s="2581">
        <v>2</v>
      </c>
      <c r="L107" s="2581">
        <v>1</v>
      </c>
      <c r="M107" s="2582">
        <v>0</v>
      </c>
      <c r="N107" s="24"/>
      <c r="O107" s="121"/>
      <c r="P107" s="527">
        <v>2</v>
      </c>
      <c r="Q107" s="274">
        <v>1</v>
      </c>
      <c r="R107" s="528">
        <v>0</v>
      </c>
      <c r="S107" s="360" t="s">
        <v>407</v>
      </c>
      <c r="T107" s="29"/>
      <c r="U107" s="511"/>
      <c r="X107" s="29"/>
      <c r="Y107" s="499"/>
      <c r="Z107" s="499"/>
      <c r="AA107" s="499"/>
      <c r="AB107" s="499"/>
      <c r="AC107" s="499"/>
      <c r="AD107" s="499"/>
      <c r="AE107" s="499"/>
      <c r="AF107" s="499"/>
      <c r="AG107" s="499"/>
      <c r="AH107" s="499"/>
      <c r="AI107" s="499"/>
      <c r="AJ107" s="499"/>
      <c r="AK107" s="499"/>
      <c r="AL107" s="499"/>
      <c r="AM107" s="499"/>
      <c r="AN107" s="499"/>
      <c r="AO107" s="499"/>
      <c r="AP107" s="499"/>
      <c r="AQ107" s="499"/>
      <c r="AR107" s="499"/>
      <c r="AS107" s="499"/>
      <c r="AT107" s="499"/>
      <c r="AU107" s="499"/>
      <c r="AV107" s="499"/>
      <c r="AW107" s="499"/>
      <c r="AX107" s="499"/>
      <c r="AY107" s="499"/>
      <c r="AZ107" s="499"/>
      <c r="BA107" s="499"/>
      <c r="BB107" s="499"/>
      <c r="BC107" s="499"/>
      <c r="BD107" s="499"/>
      <c r="BE107" s="499"/>
      <c r="BF107" s="499"/>
      <c r="BG107" s="499"/>
      <c r="BH107" s="499"/>
      <c r="BI107" s="499"/>
      <c r="BJ107" s="499"/>
      <c r="BK107" s="499"/>
      <c r="BL107" s="499"/>
      <c r="BM107" s="499"/>
      <c r="BN107" s="499"/>
      <c r="BO107" s="499"/>
      <c r="BP107" s="499"/>
      <c r="BQ107" s="499"/>
      <c r="BR107" s="499"/>
      <c r="BS107" s="499"/>
      <c r="BT107" s="499"/>
      <c r="BU107" s="499"/>
      <c r="BV107" s="499"/>
      <c r="BW107" s="499"/>
      <c r="BX107" s="499"/>
      <c r="BY107" s="499"/>
      <c r="BZ107" s="499"/>
      <c r="CA107" s="499"/>
      <c r="CB107" s="499"/>
      <c r="CC107" s="499"/>
      <c r="CD107" s="499"/>
      <c r="CE107" s="499"/>
      <c r="CF107" s="499"/>
      <c r="CG107" s="499"/>
      <c r="CH107" s="499"/>
      <c r="CI107" s="499"/>
      <c r="CJ107" s="499"/>
      <c r="CK107" s="499"/>
      <c r="CL107" s="499"/>
      <c r="CM107" s="499"/>
      <c r="CN107" s="499"/>
      <c r="CO107" s="499"/>
      <c r="CP107" s="499"/>
      <c r="CQ107" s="499"/>
      <c r="CR107" s="499"/>
      <c r="CS107" s="499"/>
      <c r="CT107" s="499"/>
      <c r="CU107" s="499"/>
      <c r="CV107" s="499"/>
      <c r="CW107" s="499"/>
      <c r="CX107" s="499"/>
      <c r="CY107" s="499"/>
      <c r="CZ107" s="499"/>
      <c r="DA107" s="499"/>
      <c r="DB107" s="499"/>
      <c r="DC107" s="499"/>
      <c r="DD107" s="499"/>
      <c r="DE107" s="499"/>
      <c r="DF107" s="499"/>
      <c r="DG107" s="499"/>
      <c r="DH107" s="499"/>
      <c r="DI107" s="499"/>
      <c r="DJ107" s="499"/>
      <c r="DK107" s="499"/>
      <c r="DL107" s="499"/>
      <c r="DM107" s="499"/>
      <c r="DN107" s="499"/>
      <c r="DO107" s="499"/>
      <c r="DP107" s="499"/>
      <c r="DQ107" s="499"/>
      <c r="DR107" s="499"/>
      <c r="DS107" s="499"/>
      <c r="DT107" s="499"/>
      <c r="DU107" s="499"/>
      <c r="DV107" s="499"/>
      <c r="DW107" s="499"/>
      <c r="DX107" s="499"/>
      <c r="DY107" s="499"/>
      <c r="DZ107" s="499"/>
      <c r="EA107" s="499"/>
      <c r="EB107" s="499"/>
      <c r="EC107" s="499"/>
      <c r="ED107" s="499"/>
      <c r="EE107" s="499"/>
      <c r="EF107" s="499"/>
      <c r="EG107" s="499"/>
      <c r="EH107" s="499"/>
      <c r="EI107" s="499"/>
      <c r="EJ107" s="499"/>
      <c r="EK107" s="499"/>
      <c r="EL107" s="499"/>
      <c r="EM107" s="499"/>
      <c r="EN107" s="499"/>
      <c r="EO107" s="499"/>
      <c r="EP107" s="499"/>
      <c r="EQ107" s="499"/>
      <c r="ER107" s="499"/>
      <c r="ES107" s="499"/>
      <c r="ET107" s="499"/>
      <c r="EU107" s="499"/>
      <c r="EV107" s="499"/>
      <c r="EW107" s="499"/>
      <c r="EX107" s="499"/>
      <c r="EY107" s="499"/>
      <c r="EZ107" s="499"/>
      <c r="FA107" s="499"/>
      <c r="FB107" s="499"/>
      <c r="FC107" s="499"/>
      <c r="FD107" s="499"/>
      <c r="FE107" s="499"/>
      <c r="FF107" s="499"/>
      <c r="FG107" s="499"/>
      <c r="FH107" s="499"/>
      <c r="FI107" s="499"/>
      <c r="FJ107" s="499"/>
      <c r="FK107" s="499"/>
      <c r="FL107" s="499"/>
      <c r="FM107" s="499"/>
      <c r="FN107" s="499"/>
      <c r="FO107" s="499"/>
      <c r="FP107" s="499"/>
      <c r="FQ107" s="499"/>
      <c r="FR107" s="499"/>
      <c r="FS107" s="499"/>
      <c r="FT107" s="499"/>
      <c r="FU107" s="499"/>
      <c r="FV107" s="499"/>
      <c r="FW107" s="499"/>
      <c r="FX107" s="499"/>
      <c r="FY107" s="499"/>
      <c r="FZ107" s="499"/>
      <c r="GA107" s="499"/>
      <c r="GB107" s="499"/>
      <c r="GC107" s="499"/>
      <c r="GD107" s="499"/>
      <c r="GE107" s="499"/>
      <c r="GF107" s="499"/>
      <c r="GG107" s="499"/>
      <c r="GH107" s="499"/>
      <c r="GI107" s="499"/>
      <c r="GJ107" s="499"/>
      <c r="GK107" s="499"/>
      <c r="GL107" s="499"/>
      <c r="GM107" s="499"/>
      <c r="GN107" s="499"/>
      <c r="GO107" s="499"/>
      <c r="GP107" s="499"/>
      <c r="GQ107" s="499"/>
      <c r="GR107" s="499"/>
      <c r="GS107" s="499"/>
      <c r="GT107" s="499"/>
      <c r="GU107" s="499"/>
      <c r="GV107" s="499"/>
      <c r="GW107" s="499"/>
      <c r="GX107" s="499"/>
      <c r="GY107" s="499"/>
      <c r="GZ107" s="499"/>
      <c r="HA107" s="499"/>
      <c r="HB107" s="499"/>
      <c r="HC107" s="499"/>
      <c r="HD107" s="499"/>
      <c r="HE107" s="499"/>
      <c r="HF107" s="499"/>
      <c r="HG107" s="499"/>
      <c r="HH107" s="499"/>
      <c r="HI107" s="499"/>
      <c r="HJ107" s="499"/>
      <c r="HK107" s="499"/>
      <c r="HL107" s="499"/>
      <c r="HM107" s="499"/>
      <c r="HN107" s="499"/>
      <c r="HO107" s="499"/>
      <c r="HP107" s="499"/>
      <c r="HQ107" s="499"/>
      <c r="HR107" s="499"/>
      <c r="HS107" s="499"/>
      <c r="HT107" s="499"/>
      <c r="HU107" s="499"/>
      <c r="HV107" s="499"/>
      <c r="HW107" s="499"/>
      <c r="HX107" s="499"/>
      <c r="HY107" s="499"/>
      <c r="HZ107" s="499"/>
      <c r="IA107" s="499"/>
      <c r="IB107" s="499"/>
      <c r="IC107" s="499"/>
      <c r="ID107" s="499"/>
      <c r="IE107" s="499"/>
      <c r="IF107" s="499"/>
      <c r="IG107" s="499"/>
      <c r="IH107" s="499"/>
      <c r="II107" s="499"/>
      <c r="IJ107" s="499"/>
      <c r="IK107" s="499"/>
      <c r="IL107" s="499"/>
      <c r="IM107" s="499"/>
      <c r="IN107" s="499"/>
      <c r="IO107" s="499"/>
      <c r="IP107" s="499"/>
      <c r="IQ107" s="499"/>
      <c r="IR107" s="499"/>
      <c r="IS107" s="499"/>
      <c r="IT107" s="499"/>
      <c r="IU107" s="499"/>
      <c r="IV107" s="499"/>
    </row>
    <row r="108" spans="1:256" ht="16.5" customHeight="1">
      <c r="A108" s="2"/>
      <c r="B108" s="521"/>
      <c r="C108" s="24"/>
      <c r="D108" s="24"/>
      <c r="E108" s="878">
        <v>2</v>
      </c>
      <c r="F108" s="1131">
        <v>2</v>
      </c>
      <c r="G108" s="439" t="s">
        <v>2091</v>
      </c>
      <c r="H108" s="641"/>
      <c r="I108" s="641"/>
      <c r="J108" s="642"/>
      <c r="K108" s="2581">
        <v>2</v>
      </c>
      <c r="L108" s="2581">
        <v>1</v>
      </c>
      <c r="M108" s="2582">
        <v>0</v>
      </c>
      <c r="N108" s="24"/>
      <c r="O108" s="121"/>
      <c r="P108" s="527">
        <v>2</v>
      </c>
      <c r="Q108" s="274">
        <v>1</v>
      </c>
      <c r="R108" s="528">
        <v>0</v>
      </c>
      <c r="S108" s="360" t="s">
        <v>407</v>
      </c>
      <c r="T108" s="29"/>
      <c r="U108" s="511"/>
      <c r="X108" s="29"/>
      <c r="Y108" s="499"/>
      <c r="Z108" s="499"/>
      <c r="AA108" s="499"/>
      <c r="AB108" s="499"/>
      <c r="AC108" s="499"/>
      <c r="AD108" s="499"/>
      <c r="AE108" s="499"/>
      <c r="AF108" s="499"/>
      <c r="AG108" s="499"/>
      <c r="AH108" s="499"/>
      <c r="AI108" s="499"/>
      <c r="AJ108" s="499"/>
      <c r="AK108" s="499"/>
      <c r="AL108" s="499"/>
      <c r="AM108" s="499"/>
      <c r="AN108" s="499"/>
      <c r="AO108" s="499"/>
      <c r="AP108" s="499"/>
      <c r="AQ108" s="499"/>
      <c r="AR108" s="499"/>
      <c r="AS108" s="499"/>
      <c r="AT108" s="499"/>
      <c r="AU108" s="499"/>
      <c r="AV108" s="499"/>
      <c r="AW108" s="499"/>
      <c r="AX108" s="499"/>
      <c r="AY108" s="499"/>
      <c r="AZ108" s="499"/>
      <c r="BA108" s="499"/>
      <c r="BB108" s="499"/>
      <c r="BC108" s="499"/>
      <c r="BD108" s="499"/>
      <c r="BE108" s="499"/>
      <c r="BF108" s="499"/>
      <c r="BG108" s="499"/>
      <c r="BH108" s="499"/>
      <c r="BI108" s="499"/>
      <c r="BJ108" s="499"/>
      <c r="BK108" s="499"/>
      <c r="BL108" s="499"/>
      <c r="BM108" s="499"/>
      <c r="BN108" s="499"/>
      <c r="BO108" s="499"/>
      <c r="BP108" s="499"/>
      <c r="BQ108" s="499"/>
      <c r="BR108" s="499"/>
      <c r="BS108" s="499"/>
      <c r="BT108" s="499"/>
      <c r="BU108" s="499"/>
      <c r="BV108" s="499"/>
      <c r="BW108" s="499"/>
      <c r="BX108" s="499"/>
      <c r="BY108" s="499"/>
      <c r="BZ108" s="499"/>
      <c r="CA108" s="499"/>
      <c r="CB108" s="499"/>
      <c r="CC108" s="499"/>
      <c r="CD108" s="499"/>
      <c r="CE108" s="499"/>
      <c r="CF108" s="499"/>
      <c r="CG108" s="499"/>
      <c r="CH108" s="499"/>
      <c r="CI108" s="499"/>
      <c r="CJ108" s="499"/>
      <c r="CK108" s="499"/>
      <c r="CL108" s="499"/>
      <c r="CM108" s="499"/>
      <c r="CN108" s="499"/>
      <c r="CO108" s="499"/>
      <c r="CP108" s="499"/>
      <c r="CQ108" s="499"/>
      <c r="CR108" s="499"/>
      <c r="CS108" s="499"/>
      <c r="CT108" s="499"/>
      <c r="CU108" s="499"/>
      <c r="CV108" s="499"/>
      <c r="CW108" s="499"/>
      <c r="CX108" s="499"/>
      <c r="CY108" s="499"/>
      <c r="CZ108" s="499"/>
      <c r="DA108" s="499"/>
      <c r="DB108" s="499"/>
      <c r="DC108" s="499"/>
      <c r="DD108" s="499"/>
      <c r="DE108" s="499"/>
      <c r="DF108" s="499"/>
      <c r="DG108" s="499"/>
      <c r="DH108" s="499"/>
      <c r="DI108" s="499"/>
      <c r="DJ108" s="499"/>
      <c r="DK108" s="499"/>
      <c r="DL108" s="499"/>
      <c r="DM108" s="499"/>
      <c r="DN108" s="499"/>
      <c r="DO108" s="499"/>
      <c r="DP108" s="499"/>
      <c r="DQ108" s="499"/>
      <c r="DR108" s="499"/>
      <c r="DS108" s="499"/>
      <c r="DT108" s="499"/>
      <c r="DU108" s="499"/>
      <c r="DV108" s="499"/>
      <c r="DW108" s="499"/>
      <c r="DX108" s="499"/>
      <c r="DY108" s="499"/>
      <c r="DZ108" s="499"/>
      <c r="EA108" s="499"/>
      <c r="EB108" s="499"/>
      <c r="EC108" s="499"/>
      <c r="ED108" s="499"/>
      <c r="EE108" s="499"/>
      <c r="EF108" s="499"/>
      <c r="EG108" s="499"/>
      <c r="EH108" s="499"/>
      <c r="EI108" s="499"/>
      <c r="EJ108" s="499"/>
      <c r="EK108" s="499"/>
      <c r="EL108" s="499"/>
      <c r="EM108" s="499"/>
      <c r="EN108" s="499"/>
      <c r="EO108" s="499"/>
      <c r="EP108" s="499"/>
      <c r="EQ108" s="499"/>
      <c r="ER108" s="499"/>
      <c r="ES108" s="499"/>
      <c r="ET108" s="499"/>
      <c r="EU108" s="499"/>
      <c r="EV108" s="499"/>
      <c r="EW108" s="499"/>
      <c r="EX108" s="499"/>
      <c r="EY108" s="499"/>
      <c r="EZ108" s="499"/>
      <c r="FA108" s="499"/>
      <c r="FB108" s="499"/>
      <c r="FC108" s="499"/>
      <c r="FD108" s="499"/>
      <c r="FE108" s="499"/>
      <c r="FF108" s="499"/>
      <c r="FG108" s="499"/>
      <c r="FH108" s="499"/>
      <c r="FI108" s="499"/>
      <c r="FJ108" s="499"/>
      <c r="FK108" s="499"/>
      <c r="FL108" s="499"/>
      <c r="FM108" s="499"/>
      <c r="FN108" s="499"/>
      <c r="FO108" s="499"/>
      <c r="FP108" s="499"/>
      <c r="FQ108" s="499"/>
      <c r="FR108" s="499"/>
      <c r="FS108" s="499"/>
      <c r="FT108" s="499"/>
      <c r="FU108" s="499"/>
      <c r="FV108" s="499"/>
      <c r="FW108" s="499"/>
      <c r="FX108" s="499"/>
      <c r="FY108" s="499"/>
      <c r="FZ108" s="499"/>
      <c r="GA108" s="499"/>
      <c r="GB108" s="499"/>
      <c r="GC108" s="499"/>
      <c r="GD108" s="499"/>
      <c r="GE108" s="499"/>
      <c r="GF108" s="499"/>
      <c r="GG108" s="499"/>
      <c r="GH108" s="499"/>
      <c r="GI108" s="499"/>
      <c r="GJ108" s="499"/>
      <c r="GK108" s="499"/>
      <c r="GL108" s="499"/>
      <c r="GM108" s="499"/>
      <c r="GN108" s="499"/>
      <c r="GO108" s="499"/>
      <c r="GP108" s="499"/>
      <c r="GQ108" s="499"/>
      <c r="GR108" s="499"/>
      <c r="GS108" s="499"/>
      <c r="GT108" s="499"/>
      <c r="GU108" s="499"/>
      <c r="GV108" s="499"/>
      <c r="GW108" s="499"/>
      <c r="GX108" s="499"/>
      <c r="GY108" s="499"/>
      <c r="GZ108" s="499"/>
      <c r="HA108" s="499"/>
      <c r="HB108" s="499"/>
      <c r="HC108" s="499"/>
      <c r="HD108" s="499"/>
      <c r="HE108" s="499"/>
      <c r="HF108" s="499"/>
      <c r="HG108" s="499"/>
      <c r="HH108" s="499"/>
      <c r="HI108" s="499"/>
      <c r="HJ108" s="499"/>
      <c r="HK108" s="499"/>
      <c r="HL108" s="499"/>
      <c r="HM108" s="499"/>
      <c r="HN108" s="499"/>
      <c r="HO108" s="499"/>
      <c r="HP108" s="499"/>
      <c r="HQ108" s="499"/>
      <c r="HR108" s="499"/>
      <c r="HS108" s="499"/>
      <c r="HT108" s="499"/>
      <c r="HU108" s="499"/>
      <c r="HV108" s="499"/>
      <c r="HW108" s="499"/>
      <c r="HX108" s="499"/>
      <c r="HY108" s="499"/>
      <c r="HZ108" s="499"/>
      <c r="IA108" s="499"/>
      <c r="IB108" s="499"/>
      <c r="IC108" s="499"/>
      <c r="ID108" s="499"/>
      <c r="IE108" s="499"/>
      <c r="IF108" s="499"/>
      <c r="IG108" s="499"/>
      <c r="IH108" s="499"/>
      <c r="II108" s="499"/>
      <c r="IJ108" s="499"/>
      <c r="IK108" s="499"/>
      <c r="IL108" s="499"/>
      <c r="IM108" s="499"/>
      <c r="IN108" s="499"/>
      <c r="IO108" s="499"/>
      <c r="IP108" s="499"/>
      <c r="IQ108" s="499"/>
      <c r="IR108" s="499"/>
      <c r="IS108" s="499"/>
      <c r="IT108" s="499"/>
      <c r="IU108" s="499"/>
      <c r="IV108" s="499"/>
    </row>
    <row r="109" spans="1:256" ht="16.5" customHeight="1">
      <c r="A109" s="2"/>
      <c r="B109" s="521"/>
      <c r="C109" s="24"/>
      <c r="D109" s="24"/>
      <c r="E109" s="878">
        <v>0</v>
      </c>
      <c r="F109" s="1131">
        <v>3</v>
      </c>
      <c r="G109" s="439" t="s">
        <v>2092</v>
      </c>
      <c r="H109" s="641"/>
      <c r="I109" s="641"/>
      <c r="J109" s="642"/>
      <c r="K109" s="2581">
        <v>2</v>
      </c>
      <c r="L109" s="2581">
        <v>1</v>
      </c>
      <c r="M109" s="2582">
        <v>0</v>
      </c>
      <c r="N109" s="24"/>
      <c r="O109" s="121"/>
      <c r="P109" s="527">
        <v>2</v>
      </c>
      <c r="Q109" s="274">
        <v>1</v>
      </c>
      <c r="R109" s="528">
        <v>0</v>
      </c>
      <c r="S109" s="360" t="s">
        <v>407</v>
      </c>
      <c r="T109" s="29"/>
      <c r="U109" s="511"/>
      <c r="X109" s="29"/>
      <c r="Y109" s="499"/>
      <c r="Z109" s="499"/>
      <c r="AA109" s="499"/>
      <c r="AB109" s="499"/>
      <c r="AC109" s="499"/>
      <c r="AD109" s="499"/>
      <c r="AE109" s="499"/>
      <c r="AF109" s="499"/>
      <c r="AG109" s="499"/>
      <c r="AH109" s="499"/>
      <c r="AI109" s="499"/>
      <c r="AJ109" s="499"/>
      <c r="AK109" s="499"/>
      <c r="AL109" s="499"/>
      <c r="AM109" s="499"/>
      <c r="AN109" s="499"/>
      <c r="AO109" s="499"/>
      <c r="AP109" s="499"/>
      <c r="AQ109" s="499"/>
      <c r="AR109" s="499"/>
      <c r="AS109" s="499"/>
      <c r="AT109" s="499"/>
      <c r="AU109" s="499"/>
      <c r="AV109" s="499"/>
      <c r="AW109" s="499"/>
      <c r="AX109" s="499"/>
      <c r="AY109" s="499"/>
      <c r="AZ109" s="499"/>
      <c r="BA109" s="499"/>
      <c r="BB109" s="499"/>
      <c r="BC109" s="499"/>
      <c r="BD109" s="499"/>
      <c r="BE109" s="499"/>
      <c r="BF109" s="499"/>
      <c r="BG109" s="499"/>
      <c r="BH109" s="499"/>
      <c r="BI109" s="499"/>
      <c r="BJ109" s="499"/>
      <c r="BK109" s="499"/>
      <c r="BL109" s="499"/>
      <c r="BM109" s="499"/>
      <c r="BN109" s="499"/>
      <c r="BO109" s="499"/>
      <c r="BP109" s="499"/>
      <c r="BQ109" s="499"/>
      <c r="BR109" s="499"/>
      <c r="BS109" s="499"/>
      <c r="BT109" s="499"/>
      <c r="BU109" s="499"/>
      <c r="BV109" s="499"/>
      <c r="BW109" s="499"/>
      <c r="BX109" s="499"/>
      <c r="BY109" s="499"/>
      <c r="BZ109" s="499"/>
      <c r="CA109" s="499"/>
      <c r="CB109" s="499"/>
      <c r="CC109" s="499"/>
      <c r="CD109" s="499"/>
      <c r="CE109" s="499"/>
      <c r="CF109" s="499"/>
      <c r="CG109" s="499"/>
      <c r="CH109" s="499"/>
      <c r="CI109" s="499"/>
      <c r="CJ109" s="499"/>
      <c r="CK109" s="499"/>
      <c r="CL109" s="499"/>
      <c r="CM109" s="499"/>
      <c r="CN109" s="499"/>
      <c r="CO109" s="499"/>
      <c r="CP109" s="499"/>
      <c r="CQ109" s="499"/>
      <c r="CR109" s="499"/>
      <c r="CS109" s="499"/>
      <c r="CT109" s="499"/>
      <c r="CU109" s="499"/>
      <c r="CV109" s="499"/>
      <c r="CW109" s="499"/>
      <c r="CX109" s="499"/>
      <c r="CY109" s="499"/>
      <c r="CZ109" s="499"/>
      <c r="DA109" s="499"/>
      <c r="DB109" s="499"/>
      <c r="DC109" s="499"/>
      <c r="DD109" s="499"/>
      <c r="DE109" s="499"/>
      <c r="DF109" s="499"/>
      <c r="DG109" s="499"/>
      <c r="DH109" s="499"/>
      <c r="DI109" s="499"/>
      <c r="DJ109" s="499"/>
      <c r="DK109" s="499"/>
      <c r="DL109" s="499"/>
      <c r="DM109" s="499"/>
      <c r="DN109" s="499"/>
      <c r="DO109" s="499"/>
      <c r="DP109" s="499"/>
      <c r="DQ109" s="499"/>
      <c r="DR109" s="499"/>
      <c r="DS109" s="499"/>
      <c r="DT109" s="499"/>
      <c r="DU109" s="499"/>
      <c r="DV109" s="499"/>
      <c r="DW109" s="499"/>
      <c r="DX109" s="499"/>
      <c r="DY109" s="499"/>
      <c r="DZ109" s="499"/>
      <c r="EA109" s="499"/>
      <c r="EB109" s="499"/>
      <c r="EC109" s="499"/>
      <c r="ED109" s="499"/>
      <c r="EE109" s="499"/>
      <c r="EF109" s="499"/>
      <c r="EG109" s="499"/>
      <c r="EH109" s="499"/>
      <c r="EI109" s="499"/>
      <c r="EJ109" s="499"/>
      <c r="EK109" s="499"/>
      <c r="EL109" s="499"/>
      <c r="EM109" s="499"/>
      <c r="EN109" s="499"/>
      <c r="EO109" s="499"/>
      <c r="EP109" s="499"/>
      <c r="EQ109" s="499"/>
      <c r="ER109" s="499"/>
      <c r="ES109" s="499"/>
      <c r="ET109" s="499"/>
      <c r="EU109" s="499"/>
      <c r="EV109" s="499"/>
      <c r="EW109" s="499"/>
      <c r="EX109" s="499"/>
      <c r="EY109" s="499"/>
      <c r="EZ109" s="499"/>
      <c r="FA109" s="499"/>
      <c r="FB109" s="499"/>
      <c r="FC109" s="499"/>
      <c r="FD109" s="499"/>
      <c r="FE109" s="499"/>
      <c r="FF109" s="499"/>
      <c r="FG109" s="499"/>
      <c r="FH109" s="499"/>
      <c r="FI109" s="499"/>
      <c r="FJ109" s="499"/>
      <c r="FK109" s="499"/>
      <c r="FL109" s="499"/>
      <c r="FM109" s="499"/>
      <c r="FN109" s="499"/>
      <c r="FO109" s="499"/>
      <c r="FP109" s="499"/>
      <c r="FQ109" s="499"/>
      <c r="FR109" s="499"/>
      <c r="FS109" s="499"/>
      <c r="FT109" s="499"/>
      <c r="FU109" s="499"/>
      <c r="FV109" s="499"/>
      <c r="FW109" s="499"/>
      <c r="FX109" s="499"/>
      <c r="FY109" s="499"/>
      <c r="FZ109" s="499"/>
      <c r="GA109" s="499"/>
      <c r="GB109" s="499"/>
      <c r="GC109" s="499"/>
      <c r="GD109" s="499"/>
      <c r="GE109" s="499"/>
      <c r="GF109" s="499"/>
      <c r="GG109" s="499"/>
      <c r="GH109" s="499"/>
      <c r="GI109" s="499"/>
      <c r="GJ109" s="499"/>
      <c r="GK109" s="499"/>
      <c r="GL109" s="499"/>
      <c r="GM109" s="499"/>
      <c r="GN109" s="499"/>
      <c r="GO109" s="499"/>
      <c r="GP109" s="499"/>
      <c r="GQ109" s="499"/>
      <c r="GR109" s="499"/>
      <c r="GS109" s="499"/>
      <c r="GT109" s="499"/>
      <c r="GU109" s="499"/>
      <c r="GV109" s="499"/>
      <c r="GW109" s="499"/>
      <c r="GX109" s="499"/>
      <c r="GY109" s="499"/>
      <c r="GZ109" s="499"/>
      <c r="HA109" s="499"/>
      <c r="HB109" s="499"/>
      <c r="HC109" s="499"/>
      <c r="HD109" s="499"/>
      <c r="HE109" s="499"/>
      <c r="HF109" s="499"/>
      <c r="HG109" s="499"/>
      <c r="HH109" s="499"/>
      <c r="HI109" s="499"/>
      <c r="HJ109" s="499"/>
      <c r="HK109" s="499"/>
      <c r="HL109" s="499"/>
      <c r="HM109" s="499"/>
      <c r="HN109" s="499"/>
      <c r="HO109" s="499"/>
      <c r="HP109" s="499"/>
      <c r="HQ109" s="499"/>
      <c r="HR109" s="499"/>
      <c r="HS109" s="499"/>
      <c r="HT109" s="499"/>
      <c r="HU109" s="499"/>
      <c r="HV109" s="499"/>
      <c r="HW109" s="499"/>
      <c r="HX109" s="499"/>
      <c r="HY109" s="499"/>
      <c r="HZ109" s="499"/>
      <c r="IA109" s="499"/>
      <c r="IB109" s="499"/>
      <c r="IC109" s="499"/>
      <c r="ID109" s="499"/>
      <c r="IE109" s="499"/>
      <c r="IF109" s="499"/>
      <c r="IG109" s="499"/>
      <c r="IH109" s="499"/>
      <c r="II109" s="499"/>
      <c r="IJ109" s="499"/>
      <c r="IK109" s="499"/>
      <c r="IL109" s="499"/>
      <c r="IM109" s="499"/>
      <c r="IN109" s="499"/>
      <c r="IO109" s="499"/>
      <c r="IP109" s="499"/>
      <c r="IQ109" s="499"/>
      <c r="IR109" s="499"/>
      <c r="IS109" s="499"/>
      <c r="IT109" s="499"/>
      <c r="IU109" s="499"/>
      <c r="IV109" s="499"/>
    </row>
    <row r="110" spans="1:256" ht="16.5" customHeight="1">
      <c r="A110" s="2"/>
      <c r="B110" s="521"/>
      <c r="C110" s="24"/>
      <c r="D110" s="24"/>
      <c r="E110" s="878">
        <v>2</v>
      </c>
      <c r="F110" s="1131">
        <v>4</v>
      </c>
      <c r="G110" s="439" t="s">
        <v>2093</v>
      </c>
      <c r="H110" s="641"/>
      <c r="I110" s="641"/>
      <c r="J110" s="642"/>
      <c r="K110" s="2581">
        <v>2</v>
      </c>
      <c r="L110" s="2581">
        <v>1</v>
      </c>
      <c r="M110" s="2582">
        <v>0</v>
      </c>
      <c r="N110" s="24"/>
      <c r="O110" s="121"/>
      <c r="P110" s="527">
        <v>2</v>
      </c>
      <c r="Q110" s="274">
        <v>1</v>
      </c>
      <c r="R110" s="528">
        <v>0</v>
      </c>
      <c r="S110" s="360" t="s">
        <v>407</v>
      </c>
      <c r="T110" s="29"/>
      <c r="U110" s="511"/>
      <c r="X110" s="29"/>
      <c r="Y110" s="499"/>
      <c r="Z110" s="499"/>
      <c r="AA110" s="499"/>
      <c r="AB110" s="499"/>
      <c r="AC110" s="499"/>
      <c r="AD110" s="499"/>
      <c r="AE110" s="499"/>
      <c r="AF110" s="499"/>
      <c r="AG110" s="499"/>
      <c r="AH110" s="499"/>
      <c r="AI110" s="499"/>
      <c r="AJ110" s="499"/>
      <c r="AK110" s="499"/>
      <c r="AL110" s="499"/>
      <c r="AM110" s="499"/>
      <c r="AN110" s="499"/>
      <c r="AO110" s="499"/>
      <c r="AP110" s="499"/>
      <c r="AQ110" s="499"/>
      <c r="AR110" s="499"/>
      <c r="AS110" s="499"/>
      <c r="AT110" s="499"/>
      <c r="AU110" s="499"/>
      <c r="AV110" s="499"/>
      <c r="AW110" s="499"/>
      <c r="AX110" s="499"/>
      <c r="AY110" s="499"/>
      <c r="AZ110" s="499"/>
      <c r="BA110" s="499"/>
      <c r="BB110" s="499"/>
      <c r="BC110" s="499"/>
      <c r="BD110" s="499"/>
      <c r="BE110" s="499"/>
      <c r="BF110" s="499"/>
      <c r="BG110" s="499"/>
      <c r="BH110" s="499"/>
      <c r="BI110" s="499"/>
      <c r="BJ110" s="499"/>
      <c r="BK110" s="499"/>
      <c r="BL110" s="499"/>
      <c r="BM110" s="499"/>
      <c r="BN110" s="499"/>
      <c r="BO110" s="499"/>
      <c r="BP110" s="499"/>
      <c r="BQ110" s="499"/>
      <c r="BR110" s="499"/>
      <c r="BS110" s="499"/>
      <c r="BT110" s="499"/>
      <c r="BU110" s="499"/>
      <c r="BV110" s="499"/>
      <c r="BW110" s="499"/>
      <c r="BX110" s="499"/>
      <c r="BY110" s="499"/>
      <c r="BZ110" s="499"/>
      <c r="CA110" s="499"/>
      <c r="CB110" s="499"/>
      <c r="CC110" s="499"/>
      <c r="CD110" s="499"/>
      <c r="CE110" s="499"/>
      <c r="CF110" s="499"/>
      <c r="CG110" s="499"/>
      <c r="CH110" s="499"/>
      <c r="CI110" s="499"/>
      <c r="CJ110" s="499"/>
      <c r="CK110" s="499"/>
      <c r="CL110" s="499"/>
      <c r="CM110" s="499"/>
      <c r="CN110" s="499"/>
      <c r="CO110" s="499"/>
      <c r="CP110" s="499"/>
      <c r="CQ110" s="499"/>
      <c r="CR110" s="499"/>
      <c r="CS110" s="499"/>
      <c r="CT110" s="499"/>
      <c r="CU110" s="499"/>
      <c r="CV110" s="499"/>
      <c r="CW110" s="499"/>
      <c r="CX110" s="499"/>
      <c r="CY110" s="499"/>
      <c r="CZ110" s="499"/>
      <c r="DA110" s="499"/>
      <c r="DB110" s="499"/>
      <c r="DC110" s="499"/>
      <c r="DD110" s="499"/>
      <c r="DE110" s="499"/>
      <c r="DF110" s="499"/>
      <c r="DG110" s="499"/>
      <c r="DH110" s="499"/>
      <c r="DI110" s="499"/>
      <c r="DJ110" s="499"/>
      <c r="DK110" s="499"/>
      <c r="DL110" s="499"/>
      <c r="DM110" s="499"/>
      <c r="DN110" s="499"/>
      <c r="DO110" s="499"/>
      <c r="DP110" s="499"/>
      <c r="DQ110" s="499"/>
      <c r="DR110" s="499"/>
      <c r="DS110" s="499"/>
      <c r="DT110" s="499"/>
      <c r="DU110" s="499"/>
      <c r="DV110" s="499"/>
      <c r="DW110" s="499"/>
      <c r="DX110" s="499"/>
      <c r="DY110" s="499"/>
      <c r="DZ110" s="499"/>
      <c r="EA110" s="499"/>
      <c r="EB110" s="499"/>
      <c r="EC110" s="499"/>
      <c r="ED110" s="499"/>
      <c r="EE110" s="499"/>
      <c r="EF110" s="499"/>
      <c r="EG110" s="499"/>
      <c r="EH110" s="499"/>
      <c r="EI110" s="499"/>
      <c r="EJ110" s="499"/>
      <c r="EK110" s="499"/>
      <c r="EL110" s="499"/>
      <c r="EM110" s="499"/>
      <c r="EN110" s="499"/>
      <c r="EO110" s="499"/>
      <c r="EP110" s="499"/>
      <c r="EQ110" s="499"/>
      <c r="ER110" s="499"/>
      <c r="ES110" s="499"/>
      <c r="ET110" s="499"/>
      <c r="EU110" s="499"/>
      <c r="EV110" s="499"/>
      <c r="EW110" s="499"/>
      <c r="EX110" s="499"/>
      <c r="EY110" s="499"/>
      <c r="EZ110" s="499"/>
      <c r="FA110" s="499"/>
      <c r="FB110" s="499"/>
      <c r="FC110" s="499"/>
      <c r="FD110" s="499"/>
      <c r="FE110" s="499"/>
      <c r="FF110" s="499"/>
      <c r="FG110" s="499"/>
      <c r="FH110" s="499"/>
      <c r="FI110" s="499"/>
      <c r="FJ110" s="499"/>
      <c r="FK110" s="499"/>
      <c r="FL110" s="499"/>
      <c r="FM110" s="499"/>
      <c r="FN110" s="499"/>
      <c r="FO110" s="499"/>
      <c r="FP110" s="499"/>
      <c r="FQ110" s="499"/>
      <c r="FR110" s="499"/>
      <c r="FS110" s="499"/>
      <c r="FT110" s="499"/>
      <c r="FU110" s="499"/>
      <c r="FV110" s="499"/>
      <c r="FW110" s="499"/>
      <c r="FX110" s="499"/>
      <c r="FY110" s="499"/>
      <c r="FZ110" s="499"/>
      <c r="GA110" s="499"/>
      <c r="GB110" s="499"/>
      <c r="GC110" s="499"/>
      <c r="GD110" s="499"/>
      <c r="GE110" s="499"/>
      <c r="GF110" s="499"/>
      <c r="GG110" s="499"/>
      <c r="GH110" s="499"/>
      <c r="GI110" s="499"/>
      <c r="GJ110" s="499"/>
      <c r="GK110" s="499"/>
      <c r="GL110" s="499"/>
      <c r="GM110" s="499"/>
      <c r="GN110" s="499"/>
      <c r="GO110" s="499"/>
      <c r="GP110" s="499"/>
      <c r="GQ110" s="499"/>
      <c r="GR110" s="499"/>
      <c r="GS110" s="499"/>
      <c r="GT110" s="499"/>
      <c r="GU110" s="499"/>
      <c r="GV110" s="499"/>
      <c r="GW110" s="499"/>
      <c r="GX110" s="499"/>
      <c r="GY110" s="499"/>
      <c r="GZ110" s="499"/>
      <c r="HA110" s="499"/>
      <c r="HB110" s="499"/>
      <c r="HC110" s="499"/>
      <c r="HD110" s="499"/>
      <c r="HE110" s="499"/>
      <c r="HF110" s="499"/>
      <c r="HG110" s="499"/>
      <c r="HH110" s="499"/>
      <c r="HI110" s="499"/>
      <c r="HJ110" s="499"/>
      <c r="HK110" s="499"/>
      <c r="HL110" s="499"/>
      <c r="HM110" s="499"/>
      <c r="HN110" s="499"/>
      <c r="HO110" s="499"/>
      <c r="HP110" s="499"/>
      <c r="HQ110" s="499"/>
      <c r="HR110" s="499"/>
      <c r="HS110" s="499"/>
      <c r="HT110" s="499"/>
      <c r="HU110" s="499"/>
      <c r="HV110" s="499"/>
      <c r="HW110" s="499"/>
      <c r="HX110" s="499"/>
      <c r="HY110" s="499"/>
      <c r="HZ110" s="499"/>
      <c r="IA110" s="499"/>
      <c r="IB110" s="499"/>
      <c r="IC110" s="499"/>
      <c r="ID110" s="499"/>
      <c r="IE110" s="499"/>
      <c r="IF110" s="499"/>
      <c r="IG110" s="499"/>
      <c r="IH110" s="499"/>
      <c r="II110" s="499"/>
      <c r="IJ110" s="499"/>
      <c r="IK110" s="499"/>
      <c r="IL110" s="499"/>
      <c r="IM110" s="499"/>
      <c r="IN110" s="499"/>
      <c r="IO110" s="499"/>
      <c r="IP110" s="499"/>
      <c r="IQ110" s="499"/>
      <c r="IR110" s="499"/>
      <c r="IS110" s="499"/>
      <c r="IT110" s="499"/>
      <c r="IU110" s="499"/>
      <c r="IV110" s="499"/>
    </row>
    <row r="111" spans="1:256" ht="16.5" customHeight="1">
      <c r="A111" s="2"/>
      <c r="B111" s="521"/>
      <c r="C111" s="24"/>
      <c r="D111" s="24"/>
      <c r="E111" s="878">
        <v>0</v>
      </c>
      <c r="F111" s="1131">
        <v>5</v>
      </c>
      <c r="G111" s="439" t="s">
        <v>2094</v>
      </c>
      <c r="H111" s="641"/>
      <c r="I111" s="641"/>
      <c r="J111" s="642"/>
      <c r="K111" s="2581">
        <v>2</v>
      </c>
      <c r="L111" s="2581">
        <v>1</v>
      </c>
      <c r="M111" s="2582">
        <v>0</v>
      </c>
      <c r="N111" s="24"/>
      <c r="O111" s="121"/>
      <c r="P111" s="527">
        <v>2</v>
      </c>
      <c r="Q111" s="274">
        <v>1</v>
      </c>
      <c r="R111" s="528">
        <v>0</v>
      </c>
      <c r="S111" s="360" t="s">
        <v>407</v>
      </c>
      <c r="T111" s="29"/>
      <c r="U111" s="511"/>
      <c r="X111" s="29"/>
      <c r="Y111" s="499"/>
      <c r="Z111" s="499"/>
      <c r="AA111" s="499"/>
      <c r="AB111" s="499"/>
      <c r="AC111" s="499"/>
      <c r="AD111" s="499"/>
      <c r="AE111" s="499"/>
      <c r="AF111" s="499"/>
      <c r="AG111" s="499"/>
      <c r="AH111" s="499"/>
      <c r="AI111" s="499"/>
      <c r="AJ111" s="499"/>
      <c r="AK111" s="499"/>
      <c r="AL111" s="499"/>
      <c r="AM111" s="499"/>
      <c r="AN111" s="499"/>
      <c r="AO111" s="499"/>
      <c r="AP111" s="499"/>
      <c r="AQ111" s="499"/>
      <c r="AR111" s="499"/>
      <c r="AS111" s="499"/>
      <c r="AT111" s="499"/>
      <c r="AU111" s="499"/>
      <c r="AV111" s="499"/>
      <c r="AW111" s="499"/>
      <c r="AX111" s="499"/>
      <c r="AY111" s="499"/>
      <c r="AZ111" s="499"/>
      <c r="BA111" s="499"/>
      <c r="BB111" s="499"/>
      <c r="BC111" s="499"/>
      <c r="BD111" s="499"/>
      <c r="BE111" s="499"/>
      <c r="BF111" s="499"/>
      <c r="BG111" s="499"/>
      <c r="BH111" s="499"/>
      <c r="BI111" s="499"/>
      <c r="BJ111" s="499"/>
      <c r="BK111" s="499"/>
      <c r="BL111" s="499"/>
      <c r="BM111" s="499"/>
      <c r="BN111" s="499"/>
      <c r="BO111" s="499"/>
      <c r="BP111" s="499"/>
      <c r="BQ111" s="499"/>
      <c r="BR111" s="499"/>
      <c r="BS111" s="499"/>
      <c r="BT111" s="499"/>
      <c r="BU111" s="499"/>
      <c r="BV111" s="499"/>
      <c r="BW111" s="499"/>
      <c r="BX111" s="499"/>
      <c r="BY111" s="499"/>
      <c r="BZ111" s="499"/>
      <c r="CA111" s="499"/>
      <c r="CB111" s="499"/>
      <c r="CC111" s="499"/>
      <c r="CD111" s="499"/>
      <c r="CE111" s="499"/>
      <c r="CF111" s="499"/>
      <c r="CG111" s="499"/>
      <c r="CH111" s="499"/>
      <c r="CI111" s="499"/>
      <c r="CJ111" s="499"/>
      <c r="CK111" s="499"/>
      <c r="CL111" s="499"/>
      <c r="CM111" s="499"/>
      <c r="CN111" s="499"/>
      <c r="CO111" s="499"/>
      <c r="CP111" s="499"/>
      <c r="CQ111" s="499"/>
      <c r="CR111" s="499"/>
      <c r="CS111" s="499"/>
      <c r="CT111" s="499"/>
      <c r="CU111" s="499"/>
      <c r="CV111" s="499"/>
      <c r="CW111" s="499"/>
      <c r="CX111" s="499"/>
      <c r="CY111" s="499"/>
      <c r="CZ111" s="499"/>
      <c r="DA111" s="499"/>
      <c r="DB111" s="499"/>
      <c r="DC111" s="499"/>
      <c r="DD111" s="499"/>
      <c r="DE111" s="499"/>
      <c r="DF111" s="499"/>
      <c r="DG111" s="499"/>
      <c r="DH111" s="499"/>
      <c r="DI111" s="499"/>
      <c r="DJ111" s="499"/>
      <c r="DK111" s="499"/>
      <c r="DL111" s="499"/>
      <c r="DM111" s="499"/>
      <c r="DN111" s="499"/>
      <c r="DO111" s="499"/>
      <c r="DP111" s="499"/>
      <c r="DQ111" s="499"/>
      <c r="DR111" s="499"/>
      <c r="DS111" s="499"/>
      <c r="DT111" s="499"/>
      <c r="DU111" s="499"/>
      <c r="DV111" s="499"/>
      <c r="DW111" s="499"/>
      <c r="DX111" s="499"/>
      <c r="DY111" s="499"/>
      <c r="DZ111" s="499"/>
      <c r="EA111" s="499"/>
      <c r="EB111" s="499"/>
      <c r="EC111" s="499"/>
      <c r="ED111" s="499"/>
      <c r="EE111" s="499"/>
      <c r="EF111" s="499"/>
      <c r="EG111" s="499"/>
      <c r="EH111" s="499"/>
      <c r="EI111" s="499"/>
      <c r="EJ111" s="499"/>
      <c r="EK111" s="499"/>
      <c r="EL111" s="499"/>
      <c r="EM111" s="499"/>
      <c r="EN111" s="499"/>
      <c r="EO111" s="499"/>
      <c r="EP111" s="499"/>
      <c r="EQ111" s="499"/>
      <c r="ER111" s="499"/>
      <c r="ES111" s="499"/>
      <c r="ET111" s="499"/>
      <c r="EU111" s="499"/>
      <c r="EV111" s="499"/>
      <c r="EW111" s="499"/>
      <c r="EX111" s="499"/>
      <c r="EY111" s="499"/>
      <c r="EZ111" s="499"/>
      <c r="FA111" s="499"/>
      <c r="FB111" s="499"/>
      <c r="FC111" s="499"/>
      <c r="FD111" s="499"/>
      <c r="FE111" s="499"/>
      <c r="FF111" s="499"/>
      <c r="FG111" s="499"/>
      <c r="FH111" s="499"/>
      <c r="FI111" s="499"/>
      <c r="FJ111" s="499"/>
      <c r="FK111" s="499"/>
      <c r="FL111" s="499"/>
      <c r="FM111" s="499"/>
      <c r="FN111" s="499"/>
      <c r="FO111" s="499"/>
      <c r="FP111" s="499"/>
      <c r="FQ111" s="499"/>
      <c r="FR111" s="499"/>
      <c r="FS111" s="499"/>
      <c r="FT111" s="499"/>
      <c r="FU111" s="499"/>
      <c r="FV111" s="499"/>
      <c r="FW111" s="499"/>
      <c r="FX111" s="499"/>
      <c r="FY111" s="499"/>
      <c r="FZ111" s="499"/>
      <c r="GA111" s="499"/>
      <c r="GB111" s="499"/>
      <c r="GC111" s="499"/>
      <c r="GD111" s="499"/>
      <c r="GE111" s="499"/>
      <c r="GF111" s="499"/>
      <c r="GG111" s="499"/>
      <c r="GH111" s="499"/>
      <c r="GI111" s="499"/>
      <c r="GJ111" s="499"/>
      <c r="GK111" s="499"/>
      <c r="GL111" s="499"/>
      <c r="GM111" s="499"/>
      <c r="GN111" s="499"/>
      <c r="GO111" s="499"/>
      <c r="GP111" s="499"/>
      <c r="GQ111" s="499"/>
      <c r="GR111" s="499"/>
      <c r="GS111" s="499"/>
      <c r="GT111" s="499"/>
      <c r="GU111" s="499"/>
      <c r="GV111" s="499"/>
      <c r="GW111" s="499"/>
      <c r="GX111" s="499"/>
      <c r="GY111" s="499"/>
      <c r="GZ111" s="499"/>
      <c r="HA111" s="499"/>
      <c r="HB111" s="499"/>
      <c r="HC111" s="499"/>
      <c r="HD111" s="499"/>
      <c r="HE111" s="499"/>
      <c r="HF111" s="499"/>
      <c r="HG111" s="499"/>
      <c r="HH111" s="499"/>
      <c r="HI111" s="499"/>
      <c r="HJ111" s="499"/>
      <c r="HK111" s="499"/>
      <c r="HL111" s="499"/>
      <c r="HM111" s="499"/>
      <c r="HN111" s="499"/>
      <c r="HO111" s="499"/>
      <c r="HP111" s="499"/>
      <c r="HQ111" s="499"/>
      <c r="HR111" s="499"/>
      <c r="HS111" s="499"/>
      <c r="HT111" s="499"/>
      <c r="HU111" s="499"/>
      <c r="HV111" s="499"/>
      <c r="HW111" s="499"/>
      <c r="HX111" s="499"/>
      <c r="HY111" s="499"/>
      <c r="HZ111" s="499"/>
      <c r="IA111" s="499"/>
      <c r="IB111" s="499"/>
      <c r="IC111" s="499"/>
      <c r="ID111" s="499"/>
      <c r="IE111" s="499"/>
      <c r="IF111" s="499"/>
      <c r="IG111" s="499"/>
      <c r="IH111" s="499"/>
      <c r="II111" s="499"/>
      <c r="IJ111" s="499"/>
      <c r="IK111" s="499"/>
      <c r="IL111" s="499"/>
      <c r="IM111" s="499"/>
      <c r="IN111" s="499"/>
      <c r="IO111" s="499"/>
      <c r="IP111" s="499"/>
      <c r="IQ111" s="499"/>
      <c r="IR111" s="499"/>
      <c r="IS111" s="499"/>
      <c r="IT111" s="499"/>
      <c r="IU111" s="499"/>
      <c r="IV111" s="499"/>
    </row>
    <row r="112" spans="1:256" ht="16.5" customHeight="1" thickBot="1">
      <c r="A112" s="2"/>
      <c r="B112" s="521"/>
      <c r="C112" s="24"/>
      <c r="D112" s="24"/>
      <c r="E112" s="879">
        <v>2</v>
      </c>
      <c r="F112" s="650">
        <v>6</v>
      </c>
      <c r="G112" s="440" t="s">
        <v>2095</v>
      </c>
      <c r="H112" s="643"/>
      <c r="I112" s="643"/>
      <c r="J112" s="644"/>
      <c r="K112" s="2581">
        <v>2</v>
      </c>
      <c r="L112" s="2581">
        <v>1</v>
      </c>
      <c r="M112" s="2582">
        <v>0</v>
      </c>
      <c r="N112" s="24"/>
      <c r="O112" s="121"/>
      <c r="P112" s="527">
        <v>2</v>
      </c>
      <c r="Q112" s="274">
        <v>1</v>
      </c>
      <c r="R112" s="528">
        <v>0</v>
      </c>
      <c r="S112" s="360" t="s">
        <v>407</v>
      </c>
      <c r="T112" s="29"/>
      <c r="U112" s="511"/>
      <c r="X112" s="29"/>
      <c r="Y112" s="499"/>
      <c r="Z112" s="499"/>
      <c r="AA112" s="499"/>
      <c r="AB112" s="499"/>
      <c r="AC112" s="499"/>
      <c r="AD112" s="499"/>
      <c r="AE112" s="499"/>
      <c r="AF112" s="499"/>
      <c r="AG112" s="499"/>
      <c r="AH112" s="499"/>
      <c r="AI112" s="499"/>
      <c r="AJ112" s="499"/>
      <c r="AK112" s="499"/>
      <c r="AL112" s="499"/>
      <c r="AM112" s="499"/>
      <c r="AN112" s="499"/>
      <c r="AO112" s="499"/>
      <c r="AP112" s="499"/>
      <c r="AQ112" s="499"/>
      <c r="AR112" s="499"/>
      <c r="AS112" s="499"/>
      <c r="AT112" s="499"/>
      <c r="AU112" s="499"/>
      <c r="AV112" s="499"/>
      <c r="AW112" s="499"/>
      <c r="AX112" s="499"/>
      <c r="AY112" s="499"/>
      <c r="AZ112" s="499"/>
      <c r="BA112" s="499"/>
      <c r="BB112" s="499"/>
      <c r="BC112" s="499"/>
      <c r="BD112" s="499"/>
      <c r="BE112" s="499"/>
      <c r="BF112" s="499"/>
      <c r="BG112" s="499"/>
      <c r="BH112" s="499"/>
      <c r="BI112" s="499"/>
      <c r="BJ112" s="499"/>
      <c r="BK112" s="499"/>
      <c r="BL112" s="499"/>
      <c r="BM112" s="499"/>
      <c r="BN112" s="499"/>
      <c r="BO112" s="499"/>
      <c r="BP112" s="499"/>
      <c r="BQ112" s="499"/>
      <c r="BR112" s="499"/>
      <c r="BS112" s="499"/>
      <c r="BT112" s="499"/>
      <c r="BU112" s="499"/>
      <c r="BV112" s="499"/>
      <c r="BW112" s="499"/>
      <c r="BX112" s="499"/>
      <c r="BY112" s="499"/>
      <c r="BZ112" s="499"/>
      <c r="CA112" s="499"/>
      <c r="CB112" s="499"/>
      <c r="CC112" s="499"/>
      <c r="CD112" s="499"/>
      <c r="CE112" s="499"/>
      <c r="CF112" s="499"/>
      <c r="CG112" s="499"/>
      <c r="CH112" s="499"/>
      <c r="CI112" s="499"/>
      <c r="CJ112" s="499"/>
      <c r="CK112" s="499"/>
      <c r="CL112" s="499"/>
      <c r="CM112" s="499"/>
      <c r="CN112" s="499"/>
      <c r="CO112" s="499"/>
      <c r="CP112" s="499"/>
      <c r="CQ112" s="499"/>
      <c r="CR112" s="499"/>
      <c r="CS112" s="499"/>
      <c r="CT112" s="499"/>
      <c r="CU112" s="499"/>
      <c r="CV112" s="499"/>
      <c r="CW112" s="499"/>
      <c r="CX112" s="499"/>
      <c r="CY112" s="499"/>
      <c r="CZ112" s="499"/>
      <c r="DA112" s="499"/>
      <c r="DB112" s="499"/>
      <c r="DC112" s="499"/>
      <c r="DD112" s="499"/>
      <c r="DE112" s="499"/>
      <c r="DF112" s="499"/>
      <c r="DG112" s="499"/>
      <c r="DH112" s="499"/>
      <c r="DI112" s="499"/>
      <c r="DJ112" s="499"/>
      <c r="DK112" s="499"/>
      <c r="DL112" s="499"/>
      <c r="DM112" s="499"/>
      <c r="DN112" s="499"/>
      <c r="DO112" s="499"/>
      <c r="DP112" s="499"/>
      <c r="DQ112" s="499"/>
      <c r="DR112" s="499"/>
      <c r="DS112" s="499"/>
      <c r="DT112" s="499"/>
      <c r="DU112" s="499"/>
      <c r="DV112" s="499"/>
      <c r="DW112" s="499"/>
      <c r="DX112" s="499"/>
      <c r="DY112" s="499"/>
      <c r="DZ112" s="499"/>
      <c r="EA112" s="499"/>
      <c r="EB112" s="499"/>
      <c r="EC112" s="499"/>
      <c r="ED112" s="499"/>
      <c r="EE112" s="499"/>
      <c r="EF112" s="499"/>
      <c r="EG112" s="499"/>
      <c r="EH112" s="499"/>
      <c r="EI112" s="499"/>
      <c r="EJ112" s="499"/>
      <c r="EK112" s="499"/>
      <c r="EL112" s="499"/>
      <c r="EM112" s="499"/>
      <c r="EN112" s="499"/>
      <c r="EO112" s="499"/>
      <c r="EP112" s="499"/>
      <c r="EQ112" s="499"/>
      <c r="ER112" s="499"/>
      <c r="ES112" s="499"/>
      <c r="ET112" s="499"/>
      <c r="EU112" s="499"/>
      <c r="EV112" s="499"/>
      <c r="EW112" s="499"/>
      <c r="EX112" s="499"/>
      <c r="EY112" s="499"/>
      <c r="EZ112" s="499"/>
      <c r="FA112" s="499"/>
      <c r="FB112" s="499"/>
      <c r="FC112" s="499"/>
      <c r="FD112" s="499"/>
      <c r="FE112" s="499"/>
      <c r="FF112" s="499"/>
      <c r="FG112" s="499"/>
      <c r="FH112" s="499"/>
      <c r="FI112" s="499"/>
      <c r="FJ112" s="499"/>
      <c r="FK112" s="499"/>
      <c r="FL112" s="499"/>
      <c r="FM112" s="499"/>
      <c r="FN112" s="499"/>
      <c r="FO112" s="499"/>
      <c r="FP112" s="499"/>
      <c r="FQ112" s="499"/>
      <c r="FR112" s="499"/>
      <c r="FS112" s="499"/>
      <c r="FT112" s="499"/>
      <c r="FU112" s="499"/>
      <c r="FV112" s="499"/>
      <c r="FW112" s="499"/>
      <c r="FX112" s="499"/>
      <c r="FY112" s="499"/>
      <c r="FZ112" s="499"/>
      <c r="GA112" s="499"/>
      <c r="GB112" s="499"/>
      <c r="GC112" s="499"/>
      <c r="GD112" s="499"/>
      <c r="GE112" s="499"/>
      <c r="GF112" s="499"/>
      <c r="GG112" s="499"/>
      <c r="GH112" s="499"/>
      <c r="GI112" s="499"/>
      <c r="GJ112" s="499"/>
      <c r="GK112" s="499"/>
      <c r="GL112" s="499"/>
      <c r="GM112" s="499"/>
      <c r="GN112" s="499"/>
      <c r="GO112" s="499"/>
      <c r="GP112" s="499"/>
      <c r="GQ112" s="499"/>
      <c r="GR112" s="499"/>
      <c r="GS112" s="499"/>
      <c r="GT112" s="499"/>
      <c r="GU112" s="499"/>
      <c r="GV112" s="499"/>
      <c r="GW112" s="499"/>
      <c r="GX112" s="499"/>
      <c r="GY112" s="499"/>
      <c r="GZ112" s="499"/>
      <c r="HA112" s="499"/>
      <c r="HB112" s="499"/>
      <c r="HC112" s="499"/>
      <c r="HD112" s="499"/>
      <c r="HE112" s="499"/>
      <c r="HF112" s="499"/>
      <c r="HG112" s="499"/>
      <c r="HH112" s="499"/>
      <c r="HI112" s="499"/>
      <c r="HJ112" s="499"/>
      <c r="HK112" s="499"/>
      <c r="HL112" s="499"/>
      <c r="HM112" s="499"/>
      <c r="HN112" s="499"/>
      <c r="HO112" s="499"/>
      <c r="HP112" s="499"/>
      <c r="HQ112" s="499"/>
      <c r="HR112" s="499"/>
      <c r="HS112" s="499"/>
      <c r="HT112" s="499"/>
      <c r="HU112" s="499"/>
      <c r="HV112" s="499"/>
      <c r="HW112" s="499"/>
      <c r="HX112" s="499"/>
      <c r="HY112" s="499"/>
      <c r="HZ112" s="499"/>
      <c r="IA112" s="499"/>
      <c r="IB112" s="499"/>
      <c r="IC112" s="499"/>
      <c r="ID112" s="499"/>
      <c r="IE112" s="499"/>
      <c r="IF112" s="499"/>
      <c r="IG112" s="499"/>
      <c r="IH112" s="499"/>
      <c r="II112" s="499"/>
      <c r="IJ112" s="499"/>
      <c r="IK112" s="499"/>
      <c r="IL112" s="499"/>
      <c r="IM112" s="499"/>
      <c r="IN112" s="499"/>
      <c r="IO112" s="499"/>
      <c r="IP112" s="499"/>
      <c r="IQ112" s="499"/>
      <c r="IR112" s="499"/>
      <c r="IS112" s="499"/>
      <c r="IT112" s="499"/>
      <c r="IU112" s="499"/>
      <c r="IV112" s="499"/>
    </row>
    <row r="113" spans="1:256" ht="16.5" customHeight="1">
      <c r="A113" s="2"/>
      <c r="B113" s="332"/>
      <c r="C113" s="505"/>
      <c r="D113" s="505"/>
      <c r="E113" s="849" t="s">
        <v>258</v>
      </c>
      <c r="F113" s="468">
        <f>SUM(E107:E112)</f>
        <v>6</v>
      </c>
      <c r="G113" s="850" t="s">
        <v>809</v>
      </c>
      <c r="H113" s="468">
        <f>SUM(P107:P112)-COUNTIF(E107:E112,S108)*2</f>
        <v>12</v>
      </c>
      <c r="I113" s="3056"/>
      <c r="J113" s="3056"/>
      <c r="K113" s="3057" t="s">
        <v>810</v>
      </c>
      <c r="L113" s="3057"/>
      <c r="M113" s="851">
        <f>F113/H113</f>
        <v>0.5</v>
      </c>
      <c r="N113" s="505"/>
      <c r="O113" s="121"/>
      <c r="P113" s="841"/>
      <c r="Q113" s="121"/>
      <c r="S113" s="29"/>
      <c r="T113" s="29"/>
      <c r="U113" s="841"/>
      <c r="X113" s="29"/>
      <c r="Y113" s="852"/>
      <c r="Z113" s="852"/>
      <c r="AA113" s="852"/>
      <c r="AB113" s="852"/>
      <c r="AC113" s="852"/>
      <c r="AD113" s="852"/>
      <c r="AE113" s="852"/>
      <c r="AF113" s="852"/>
      <c r="AG113" s="852"/>
      <c r="AH113" s="852"/>
      <c r="AI113" s="852"/>
      <c r="AJ113" s="852"/>
      <c r="AK113" s="852"/>
      <c r="AL113" s="852"/>
      <c r="AM113" s="852"/>
      <c r="AN113" s="852"/>
      <c r="AO113" s="852"/>
      <c r="AP113" s="852"/>
      <c r="AQ113" s="852"/>
      <c r="AR113" s="852"/>
      <c r="AS113" s="852"/>
      <c r="AT113" s="852"/>
      <c r="AU113" s="852"/>
      <c r="AV113" s="852"/>
      <c r="AW113" s="852"/>
      <c r="AX113" s="852"/>
      <c r="AY113" s="852"/>
      <c r="AZ113" s="852"/>
      <c r="BA113" s="852"/>
      <c r="BB113" s="852"/>
      <c r="BC113" s="852"/>
      <c r="BD113" s="852"/>
      <c r="BE113" s="852"/>
      <c r="BF113" s="852"/>
      <c r="BG113" s="852"/>
      <c r="BH113" s="852"/>
      <c r="BI113" s="852"/>
      <c r="BJ113" s="852"/>
      <c r="BK113" s="852"/>
      <c r="BL113" s="852"/>
      <c r="BM113" s="852"/>
      <c r="BN113" s="852"/>
      <c r="BO113" s="852"/>
      <c r="BP113" s="852"/>
      <c r="BQ113" s="852"/>
      <c r="BR113" s="852"/>
      <c r="BS113" s="852"/>
      <c r="BT113" s="852"/>
      <c r="BU113" s="852"/>
      <c r="BV113" s="852"/>
      <c r="BW113" s="852"/>
      <c r="BX113" s="852"/>
      <c r="BY113" s="852"/>
      <c r="BZ113" s="852"/>
      <c r="CA113" s="852"/>
      <c r="CB113" s="852"/>
      <c r="CC113" s="852"/>
      <c r="CD113" s="852"/>
      <c r="CE113" s="852"/>
      <c r="CF113" s="852"/>
      <c r="CG113" s="852"/>
      <c r="CH113" s="852"/>
      <c r="CI113" s="852"/>
      <c r="CJ113" s="852"/>
      <c r="CK113" s="852"/>
      <c r="CL113" s="852"/>
      <c r="CM113" s="852"/>
      <c r="CN113" s="852"/>
      <c r="CO113" s="852"/>
      <c r="CP113" s="852"/>
      <c r="CQ113" s="852"/>
      <c r="CR113" s="852"/>
      <c r="CS113" s="852"/>
      <c r="CT113" s="852"/>
      <c r="CU113" s="852"/>
      <c r="CV113" s="852"/>
      <c r="CW113" s="852"/>
      <c r="CX113" s="852"/>
      <c r="CY113" s="852"/>
      <c r="CZ113" s="852"/>
      <c r="DA113" s="852"/>
      <c r="DB113" s="852"/>
      <c r="DC113" s="852"/>
      <c r="DD113" s="852"/>
      <c r="DE113" s="852"/>
      <c r="DF113" s="852"/>
      <c r="DG113" s="852"/>
      <c r="DH113" s="852"/>
      <c r="DI113" s="852"/>
      <c r="DJ113" s="852"/>
      <c r="DK113" s="852"/>
      <c r="DL113" s="852"/>
      <c r="DM113" s="852"/>
      <c r="DN113" s="852"/>
      <c r="DO113" s="852"/>
      <c r="DP113" s="852"/>
      <c r="DQ113" s="852"/>
      <c r="DR113" s="852"/>
      <c r="DS113" s="852"/>
      <c r="DT113" s="852"/>
      <c r="DU113" s="852"/>
      <c r="DV113" s="852"/>
      <c r="DW113" s="852"/>
      <c r="DX113" s="852"/>
      <c r="DY113" s="852"/>
      <c r="DZ113" s="852"/>
      <c r="EA113" s="852"/>
      <c r="EB113" s="852"/>
      <c r="EC113" s="852"/>
      <c r="ED113" s="852"/>
      <c r="EE113" s="852"/>
      <c r="EF113" s="852"/>
      <c r="EG113" s="852"/>
      <c r="EH113" s="852"/>
      <c r="EI113" s="852"/>
      <c r="EJ113" s="852"/>
      <c r="EK113" s="852"/>
      <c r="EL113" s="852"/>
      <c r="EM113" s="852"/>
      <c r="EN113" s="852"/>
      <c r="EO113" s="852"/>
      <c r="EP113" s="852"/>
      <c r="EQ113" s="852"/>
      <c r="ER113" s="852"/>
      <c r="ES113" s="852"/>
      <c r="ET113" s="852"/>
      <c r="EU113" s="852"/>
      <c r="EV113" s="852"/>
      <c r="EW113" s="852"/>
      <c r="EX113" s="852"/>
      <c r="EY113" s="852"/>
      <c r="EZ113" s="852"/>
      <c r="FA113" s="852"/>
      <c r="FB113" s="852"/>
      <c r="FC113" s="852"/>
      <c r="FD113" s="852"/>
      <c r="FE113" s="852"/>
      <c r="FF113" s="852"/>
      <c r="FG113" s="852"/>
      <c r="FH113" s="852"/>
      <c r="FI113" s="852"/>
      <c r="FJ113" s="852"/>
      <c r="FK113" s="852"/>
      <c r="FL113" s="852"/>
      <c r="FM113" s="852"/>
      <c r="FN113" s="852"/>
      <c r="FO113" s="852"/>
      <c r="FP113" s="852"/>
      <c r="FQ113" s="852"/>
      <c r="FR113" s="852"/>
      <c r="FS113" s="852"/>
      <c r="FT113" s="852"/>
      <c r="FU113" s="852"/>
      <c r="FV113" s="852"/>
      <c r="FW113" s="852"/>
      <c r="FX113" s="852"/>
      <c r="FY113" s="852"/>
      <c r="FZ113" s="852"/>
      <c r="GA113" s="852"/>
      <c r="GB113" s="852"/>
      <c r="GC113" s="852"/>
      <c r="GD113" s="852"/>
      <c r="GE113" s="852"/>
      <c r="GF113" s="852"/>
      <c r="GG113" s="852"/>
      <c r="GH113" s="852"/>
      <c r="GI113" s="852"/>
      <c r="GJ113" s="852"/>
      <c r="GK113" s="852"/>
      <c r="GL113" s="852"/>
      <c r="GM113" s="852"/>
      <c r="GN113" s="852"/>
      <c r="GO113" s="852"/>
      <c r="GP113" s="852"/>
      <c r="GQ113" s="852"/>
      <c r="GR113" s="852"/>
      <c r="GS113" s="852"/>
      <c r="GT113" s="852"/>
      <c r="GU113" s="852"/>
      <c r="GV113" s="852"/>
      <c r="GW113" s="852"/>
      <c r="GX113" s="852"/>
      <c r="GY113" s="852"/>
      <c r="GZ113" s="852"/>
      <c r="HA113" s="852"/>
      <c r="HB113" s="852"/>
      <c r="HC113" s="852"/>
      <c r="HD113" s="852"/>
      <c r="HE113" s="852"/>
      <c r="HF113" s="852"/>
      <c r="HG113" s="852"/>
      <c r="HH113" s="852"/>
      <c r="HI113" s="852"/>
      <c r="HJ113" s="852"/>
      <c r="HK113" s="852"/>
      <c r="HL113" s="852"/>
      <c r="HM113" s="852"/>
      <c r="HN113" s="852"/>
      <c r="HO113" s="852"/>
      <c r="HP113" s="852"/>
      <c r="HQ113" s="852"/>
      <c r="HR113" s="852"/>
      <c r="HS113" s="852"/>
      <c r="HT113" s="852"/>
      <c r="HU113" s="852"/>
      <c r="HV113" s="852"/>
      <c r="HW113" s="852"/>
      <c r="HX113" s="852"/>
      <c r="HY113" s="852"/>
      <c r="HZ113" s="852"/>
      <c r="IA113" s="852"/>
      <c r="IB113" s="852"/>
      <c r="IC113" s="852"/>
      <c r="ID113" s="852"/>
      <c r="IE113" s="852"/>
      <c r="IF113" s="852"/>
      <c r="IG113" s="852"/>
      <c r="IH113" s="852"/>
      <c r="II113" s="852"/>
      <c r="IJ113" s="852"/>
      <c r="IK113" s="852"/>
      <c r="IL113" s="852"/>
      <c r="IM113" s="852"/>
      <c r="IN113" s="852"/>
      <c r="IO113" s="852"/>
      <c r="IP113" s="852"/>
      <c r="IQ113" s="852"/>
      <c r="IR113" s="852"/>
      <c r="IS113" s="852"/>
      <c r="IT113" s="852"/>
      <c r="IU113" s="852"/>
      <c r="IV113" s="852"/>
    </row>
    <row r="114" spans="1:256" ht="16.5" customHeight="1" thickBot="1">
      <c r="A114" s="2"/>
      <c r="B114" s="521"/>
      <c r="C114" s="24"/>
      <c r="D114" s="24"/>
      <c r="E114" s="874" t="s">
        <v>376</v>
      </c>
      <c r="F114" s="24"/>
      <c r="G114" s="24"/>
      <c r="H114" s="24"/>
      <c r="I114" s="24"/>
      <c r="J114" s="24"/>
      <c r="K114" s="24"/>
      <c r="L114" s="24"/>
      <c r="M114" s="24"/>
      <c r="N114" s="24"/>
      <c r="O114" s="121"/>
      <c r="P114" s="511"/>
      <c r="Q114" s="121"/>
      <c r="S114" s="29"/>
      <c r="T114" s="29"/>
      <c r="U114" s="511"/>
      <c r="X114" s="29"/>
      <c r="Y114" s="499"/>
      <c r="Z114" s="499"/>
      <c r="AA114" s="499"/>
      <c r="AB114" s="499"/>
      <c r="AC114" s="499"/>
      <c r="AD114" s="499"/>
      <c r="AE114" s="499"/>
      <c r="AF114" s="499"/>
      <c r="AG114" s="499"/>
      <c r="AH114" s="499"/>
      <c r="AI114" s="499"/>
      <c r="AJ114" s="499"/>
      <c r="AK114" s="499"/>
      <c r="AL114" s="499"/>
      <c r="AM114" s="499"/>
      <c r="AN114" s="499"/>
      <c r="AO114" s="499"/>
      <c r="AP114" s="499"/>
      <c r="AQ114" s="499"/>
      <c r="AR114" s="499"/>
      <c r="AS114" s="499"/>
      <c r="AT114" s="499"/>
      <c r="AU114" s="499"/>
      <c r="AV114" s="499"/>
      <c r="AW114" s="499"/>
      <c r="AX114" s="499"/>
      <c r="AY114" s="499"/>
      <c r="AZ114" s="499"/>
      <c r="BA114" s="499"/>
      <c r="BB114" s="499"/>
      <c r="BC114" s="499"/>
      <c r="BD114" s="499"/>
      <c r="BE114" s="499"/>
      <c r="BF114" s="499"/>
      <c r="BG114" s="499"/>
      <c r="BH114" s="499"/>
      <c r="BI114" s="499"/>
      <c r="BJ114" s="499"/>
      <c r="BK114" s="499"/>
      <c r="BL114" s="499"/>
      <c r="BM114" s="499"/>
      <c r="BN114" s="499"/>
      <c r="BO114" s="499"/>
      <c r="BP114" s="499"/>
      <c r="BQ114" s="499"/>
      <c r="BR114" s="499"/>
      <c r="BS114" s="499"/>
      <c r="BT114" s="499"/>
      <c r="BU114" s="499"/>
      <c r="BV114" s="499"/>
      <c r="BW114" s="499"/>
      <c r="BX114" s="499"/>
      <c r="BY114" s="499"/>
      <c r="BZ114" s="499"/>
      <c r="CA114" s="499"/>
      <c r="CB114" s="499"/>
      <c r="CC114" s="499"/>
      <c r="CD114" s="499"/>
      <c r="CE114" s="499"/>
      <c r="CF114" s="499"/>
      <c r="CG114" s="499"/>
      <c r="CH114" s="499"/>
      <c r="CI114" s="499"/>
      <c r="CJ114" s="499"/>
      <c r="CK114" s="499"/>
      <c r="CL114" s="499"/>
      <c r="CM114" s="499"/>
      <c r="CN114" s="499"/>
      <c r="CO114" s="499"/>
      <c r="CP114" s="499"/>
      <c r="CQ114" s="499"/>
      <c r="CR114" s="499"/>
      <c r="CS114" s="499"/>
      <c r="CT114" s="499"/>
      <c r="CU114" s="499"/>
      <c r="CV114" s="499"/>
      <c r="CW114" s="499"/>
      <c r="CX114" s="499"/>
      <c r="CY114" s="499"/>
      <c r="CZ114" s="499"/>
      <c r="DA114" s="499"/>
      <c r="DB114" s="499"/>
      <c r="DC114" s="499"/>
      <c r="DD114" s="499"/>
      <c r="DE114" s="499"/>
      <c r="DF114" s="499"/>
      <c r="DG114" s="499"/>
      <c r="DH114" s="499"/>
      <c r="DI114" s="499"/>
      <c r="DJ114" s="499"/>
      <c r="DK114" s="499"/>
      <c r="DL114" s="499"/>
      <c r="DM114" s="499"/>
      <c r="DN114" s="499"/>
      <c r="DO114" s="499"/>
      <c r="DP114" s="499"/>
      <c r="DQ114" s="499"/>
      <c r="DR114" s="499"/>
      <c r="DS114" s="499"/>
      <c r="DT114" s="499"/>
      <c r="DU114" s="499"/>
      <c r="DV114" s="499"/>
      <c r="DW114" s="499"/>
      <c r="DX114" s="499"/>
      <c r="DY114" s="499"/>
      <c r="DZ114" s="499"/>
      <c r="EA114" s="499"/>
      <c r="EB114" s="499"/>
      <c r="EC114" s="499"/>
      <c r="ED114" s="499"/>
      <c r="EE114" s="499"/>
      <c r="EF114" s="499"/>
      <c r="EG114" s="499"/>
      <c r="EH114" s="499"/>
      <c r="EI114" s="499"/>
      <c r="EJ114" s="499"/>
      <c r="EK114" s="499"/>
      <c r="EL114" s="499"/>
      <c r="EM114" s="499"/>
      <c r="EN114" s="499"/>
      <c r="EO114" s="499"/>
      <c r="EP114" s="499"/>
      <c r="EQ114" s="499"/>
      <c r="ER114" s="499"/>
      <c r="ES114" s="499"/>
      <c r="ET114" s="499"/>
      <c r="EU114" s="499"/>
      <c r="EV114" s="499"/>
      <c r="EW114" s="499"/>
      <c r="EX114" s="499"/>
      <c r="EY114" s="499"/>
      <c r="EZ114" s="499"/>
      <c r="FA114" s="499"/>
      <c r="FB114" s="499"/>
      <c r="FC114" s="499"/>
      <c r="FD114" s="499"/>
      <c r="FE114" s="499"/>
      <c r="FF114" s="499"/>
      <c r="FG114" s="499"/>
      <c r="FH114" s="499"/>
      <c r="FI114" s="499"/>
      <c r="FJ114" s="499"/>
      <c r="FK114" s="499"/>
      <c r="FL114" s="499"/>
      <c r="FM114" s="499"/>
      <c r="FN114" s="499"/>
      <c r="FO114" s="499"/>
      <c r="FP114" s="499"/>
      <c r="FQ114" s="499"/>
      <c r="FR114" s="499"/>
      <c r="FS114" s="499"/>
      <c r="FT114" s="499"/>
      <c r="FU114" s="499"/>
      <c r="FV114" s="499"/>
      <c r="FW114" s="499"/>
      <c r="FX114" s="499"/>
      <c r="FY114" s="499"/>
      <c r="FZ114" s="499"/>
      <c r="GA114" s="499"/>
      <c r="GB114" s="499"/>
      <c r="GC114" s="499"/>
      <c r="GD114" s="499"/>
      <c r="GE114" s="499"/>
      <c r="GF114" s="499"/>
      <c r="GG114" s="499"/>
      <c r="GH114" s="499"/>
      <c r="GI114" s="499"/>
      <c r="GJ114" s="499"/>
      <c r="GK114" s="499"/>
      <c r="GL114" s="499"/>
      <c r="GM114" s="499"/>
      <c r="GN114" s="499"/>
      <c r="GO114" s="499"/>
      <c r="GP114" s="499"/>
      <c r="GQ114" s="499"/>
      <c r="GR114" s="499"/>
      <c r="GS114" s="499"/>
      <c r="GT114" s="499"/>
      <c r="GU114" s="499"/>
      <c r="GV114" s="499"/>
      <c r="GW114" s="499"/>
      <c r="GX114" s="499"/>
      <c r="GY114" s="499"/>
      <c r="GZ114" s="499"/>
      <c r="HA114" s="499"/>
      <c r="HB114" s="499"/>
      <c r="HC114" s="499"/>
      <c r="HD114" s="499"/>
      <c r="HE114" s="499"/>
      <c r="HF114" s="499"/>
      <c r="HG114" s="499"/>
      <c r="HH114" s="499"/>
      <c r="HI114" s="499"/>
      <c r="HJ114" s="499"/>
      <c r="HK114" s="499"/>
      <c r="HL114" s="499"/>
      <c r="HM114" s="499"/>
      <c r="HN114" s="499"/>
      <c r="HO114" s="499"/>
      <c r="HP114" s="499"/>
      <c r="HQ114" s="499"/>
      <c r="HR114" s="499"/>
      <c r="HS114" s="499"/>
      <c r="HT114" s="499"/>
      <c r="HU114" s="499"/>
      <c r="HV114" s="499"/>
      <c r="HW114" s="499"/>
      <c r="HX114" s="499"/>
      <c r="HY114" s="499"/>
      <c r="HZ114" s="499"/>
      <c r="IA114" s="499"/>
      <c r="IB114" s="499"/>
      <c r="IC114" s="499"/>
      <c r="ID114" s="499"/>
      <c r="IE114" s="499"/>
      <c r="IF114" s="499"/>
      <c r="IG114" s="499"/>
      <c r="IH114" s="499"/>
      <c r="II114" s="499"/>
      <c r="IJ114" s="499"/>
      <c r="IK114" s="499"/>
      <c r="IL114" s="499"/>
      <c r="IM114" s="499"/>
      <c r="IN114" s="499"/>
      <c r="IO114" s="499"/>
      <c r="IP114" s="499"/>
      <c r="IQ114" s="499"/>
      <c r="IR114" s="499"/>
      <c r="IS114" s="499"/>
      <c r="IT114" s="499"/>
      <c r="IU114" s="499"/>
      <c r="IV114" s="499"/>
    </row>
    <row r="115" spans="1:256" ht="16.5" customHeight="1" thickBot="1">
      <c r="A115" s="2"/>
      <c r="B115" s="137"/>
      <c r="C115" s="27"/>
      <c r="D115" s="30"/>
      <c r="E115" s="808"/>
      <c r="F115" s="807" t="s">
        <v>2096</v>
      </c>
      <c r="G115" s="457"/>
      <c r="H115" s="668"/>
      <c r="I115" s="668"/>
      <c r="J115" s="668"/>
      <c r="K115" s="668"/>
      <c r="L115" s="668"/>
      <c r="M115" s="669"/>
      <c r="N115" s="2"/>
      <c r="P115"/>
      <c r="Q115"/>
      <c r="T115" s="499"/>
      <c r="U115" s="511"/>
    </row>
    <row r="116" spans="1:256" ht="16.5" customHeight="1">
      <c r="A116" s="2"/>
      <c r="B116" s="137"/>
      <c r="C116" s="27"/>
      <c r="D116" s="30"/>
      <c r="E116" s="661"/>
      <c r="F116" s="444"/>
      <c r="G116" s="444"/>
      <c r="H116" s="444"/>
      <c r="I116" s="444"/>
      <c r="J116" s="444"/>
      <c r="K116" s="444" t="s">
        <v>400</v>
      </c>
      <c r="L116" s="444">
        <f>IF(E115="過半",2)+IF(E115="一部",1)</f>
        <v>0</v>
      </c>
      <c r="M116" s="443" t="s">
        <v>401</v>
      </c>
      <c r="N116" s="2"/>
      <c r="P116"/>
      <c r="Q116"/>
      <c r="T116" s="499"/>
      <c r="U116" s="511"/>
    </row>
    <row r="117" spans="1:256" s="29" customFormat="1" ht="8.25" customHeight="1">
      <c r="A117" s="19"/>
      <c r="B117" s="137"/>
      <c r="C117" s="504"/>
      <c r="D117" s="270"/>
      <c r="E117" s="270"/>
      <c r="F117" s="2"/>
      <c r="G117" s="2"/>
      <c r="H117" s="2"/>
      <c r="I117" s="2"/>
      <c r="J117" s="2"/>
      <c r="K117" s="2"/>
      <c r="L117" s="2"/>
      <c r="M117" s="2"/>
      <c r="N117" s="22"/>
      <c r="P117"/>
      <c r="Q117"/>
      <c r="R117" s="4"/>
      <c r="S117" s="4"/>
      <c r="T117" s="113"/>
    </row>
    <row r="118" spans="1:256" s="29" customFormat="1" ht="21" customHeight="1">
      <c r="A118" s="19"/>
      <c r="B118" s="137"/>
      <c r="C118" s="504"/>
      <c r="E118" s="646" t="s">
        <v>3</v>
      </c>
      <c r="F118" s="647"/>
      <c r="G118" s="2441"/>
      <c r="H118" s="2442"/>
      <c r="I118" s="990"/>
      <c r="J118" s="990"/>
      <c r="K118" s="990"/>
      <c r="L118" s="990"/>
      <c r="M118" s="991"/>
      <c r="N118" s="22"/>
      <c r="P118"/>
      <c r="Q118"/>
      <c r="R118" s="4"/>
      <c r="S118" s="4"/>
      <c r="T118" s="113"/>
      <c r="U118" s="511"/>
      <c r="V118" s="113"/>
      <c r="W118" s="113"/>
      <c r="X118" s="113"/>
      <c r="Y118" s="113"/>
    </row>
    <row r="119" spans="1:256" ht="14.25" customHeight="1">
      <c r="A119" s="2"/>
      <c r="B119" s="521"/>
      <c r="C119" s="24"/>
      <c r="D119" s="24"/>
      <c r="E119" s="24"/>
      <c r="F119" s="24"/>
      <c r="G119" s="24"/>
      <c r="H119" s="24"/>
      <c r="I119" s="24"/>
      <c r="J119" s="24"/>
      <c r="K119" s="24"/>
      <c r="L119" s="24"/>
      <c r="M119" s="24"/>
      <c r="N119" s="24"/>
      <c r="O119" s="121"/>
      <c r="P119" s="511"/>
      <c r="Q119" s="121"/>
      <c r="S119" s="29"/>
      <c r="T119" s="29"/>
      <c r="U119" s="511"/>
      <c r="X119" s="29"/>
      <c r="Y119" s="499"/>
      <c r="Z119" s="499"/>
      <c r="AA119" s="499"/>
      <c r="AB119" s="499"/>
      <c r="AC119" s="499"/>
      <c r="AD119" s="499"/>
      <c r="AE119" s="499"/>
      <c r="AF119" s="499"/>
      <c r="AG119" s="499"/>
      <c r="AH119" s="499"/>
      <c r="AI119" s="499"/>
      <c r="AJ119" s="499"/>
      <c r="AK119" s="499"/>
      <c r="AL119" s="499"/>
      <c r="AM119" s="499"/>
      <c r="AN119" s="499"/>
      <c r="AO119" s="499"/>
      <c r="AP119" s="499"/>
      <c r="AQ119" s="499"/>
      <c r="AR119" s="499"/>
      <c r="AS119" s="499"/>
      <c r="AT119" s="499"/>
      <c r="AU119" s="499"/>
      <c r="AV119" s="499"/>
      <c r="AW119" s="499"/>
      <c r="AX119" s="499"/>
      <c r="AY119" s="499"/>
      <c r="AZ119" s="499"/>
      <c r="BA119" s="499"/>
      <c r="BB119" s="499"/>
      <c r="BC119" s="499"/>
      <c r="BD119" s="499"/>
      <c r="BE119" s="499"/>
      <c r="BF119" s="499"/>
      <c r="BG119" s="499"/>
      <c r="BH119" s="499"/>
      <c r="BI119" s="499"/>
      <c r="BJ119" s="499"/>
      <c r="BK119" s="499"/>
      <c r="BL119" s="499"/>
      <c r="BM119" s="499"/>
      <c r="BN119" s="499"/>
      <c r="BO119" s="499"/>
      <c r="BP119" s="499"/>
      <c r="BQ119" s="499"/>
      <c r="BR119" s="499"/>
      <c r="BS119" s="499"/>
      <c r="BT119" s="499"/>
      <c r="BU119" s="499"/>
      <c r="BV119" s="499"/>
      <c r="BW119" s="499"/>
      <c r="BX119" s="499"/>
      <c r="BY119" s="499"/>
      <c r="BZ119" s="499"/>
      <c r="CA119" s="499"/>
      <c r="CB119" s="499"/>
      <c r="CC119" s="499"/>
      <c r="CD119" s="499"/>
      <c r="CE119" s="499"/>
      <c r="CF119" s="499"/>
      <c r="CG119" s="499"/>
      <c r="CH119" s="499"/>
      <c r="CI119" s="499"/>
      <c r="CJ119" s="499"/>
      <c r="CK119" s="499"/>
      <c r="CL119" s="499"/>
      <c r="CM119" s="499"/>
      <c r="CN119" s="499"/>
      <c r="CO119" s="499"/>
      <c r="CP119" s="499"/>
      <c r="CQ119" s="499"/>
      <c r="CR119" s="499"/>
      <c r="CS119" s="499"/>
      <c r="CT119" s="499"/>
      <c r="CU119" s="499"/>
      <c r="CV119" s="499"/>
      <c r="CW119" s="499"/>
      <c r="CX119" s="499"/>
      <c r="CY119" s="499"/>
      <c r="CZ119" s="499"/>
      <c r="DA119" s="499"/>
      <c r="DB119" s="499"/>
      <c r="DC119" s="499"/>
      <c r="DD119" s="499"/>
      <c r="DE119" s="499"/>
      <c r="DF119" s="499"/>
      <c r="DG119" s="499"/>
      <c r="DH119" s="499"/>
      <c r="DI119" s="499"/>
      <c r="DJ119" s="499"/>
      <c r="DK119" s="499"/>
      <c r="DL119" s="499"/>
      <c r="DM119" s="499"/>
      <c r="DN119" s="499"/>
      <c r="DO119" s="499"/>
      <c r="DP119" s="499"/>
      <c r="DQ119" s="499"/>
      <c r="DR119" s="499"/>
      <c r="DS119" s="499"/>
      <c r="DT119" s="499"/>
      <c r="DU119" s="499"/>
      <c r="DV119" s="499"/>
      <c r="DW119" s="499"/>
      <c r="DX119" s="499"/>
      <c r="DY119" s="499"/>
      <c r="DZ119" s="499"/>
      <c r="EA119" s="499"/>
      <c r="EB119" s="499"/>
      <c r="EC119" s="499"/>
      <c r="ED119" s="499"/>
      <c r="EE119" s="499"/>
      <c r="EF119" s="499"/>
      <c r="EG119" s="499"/>
      <c r="EH119" s="499"/>
      <c r="EI119" s="499"/>
      <c r="EJ119" s="499"/>
      <c r="EK119" s="499"/>
      <c r="EL119" s="499"/>
      <c r="EM119" s="499"/>
      <c r="EN119" s="499"/>
      <c r="EO119" s="499"/>
      <c r="EP119" s="499"/>
      <c r="EQ119" s="499"/>
      <c r="ER119" s="499"/>
      <c r="ES119" s="499"/>
      <c r="ET119" s="499"/>
      <c r="EU119" s="499"/>
      <c r="EV119" s="499"/>
      <c r="EW119" s="499"/>
      <c r="EX119" s="499"/>
      <c r="EY119" s="499"/>
      <c r="EZ119" s="499"/>
      <c r="FA119" s="499"/>
      <c r="FB119" s="499"/>
      <c r="FC119" s="499"/>
      <c r="FD119" s="499"/>
      <c r="FE119" s="499"/>
      <c r="FF119" s="499"/>
      <c r="FG119" s="499"/>
      <c r="FH119" s="499"/>
      <c r="FI119" s="499"/>
      <c r="FJ119" s="499"/>
      <c r="FK119" s="499"/>
      <c r="FL119" s="499"/>
      <c r="FM119" s="499"/>
      <c r="FN119" s="499"/>
      <c r="FO119" s="499"/>
      <c r="FP119" s="499"/>
      <c r="FQ119" s="499"/>
      <c r="FR119" s="499"/>
      <c r="FS119" s="499"/>
      <c r="FT119" s="499"/>
      <c r="FU119" s="499"/>
      <c r="FV119" s="499"/>
      <c r="FW119" s="499"/>
      <c r="FX119" s="499"/>
      <c r="FY119" s="499"/>
      <c r="FZ119" s="499"/>
      <c r="GA119" s="499"/>
      <c r="GB119" s="499"/>
      <c r="GC119" s="499"/>
      <c r="GD119" s="499"/>
      <c r="GE119" s="499"/>
      <c r="GF119" s="499"/>
      <c r="GG119" s="499"/>
      <c r="GH119" s="499"/>
      <c r="GI119" s="499"/>
      <c r="GJ119" s="499"/>
      <c r="GK119" s="499"/>
      <c r="GL119" s="499"/>
      <c r="GM119" s="499"/>
      <c r="GN119" s="499"/>
      <c r="GO119" s="499"/>
      <c r="GP119" s="499"/>
      <c r="GQ119" s="499"/>
      <c r="GR119" s="499"/>
      <c r="GS119" s="499"/>
      <c r="GT119" s="499"/>
      <c r="GU119" s="499"/>
      <c r="GV119" s="499"/>
      <c r="GW119" s="499"/>
      <c r="GX119" s="499"/>
      <c r="GY119" s="499"/>
      <c r="GZ119" s="499"/>
      <c r="HA119" s="499"/>
      <c r="HB119" s="499"/>
      <c r="HC119" s="499"/>
      <c r="HD119" s="499"/>
      <c r="HE119" s="499"/>
      <c r="HF119" s="499"/>
      <c r="HG119" s="499"/>
      <c r="HH119" s="499"/>
      <c r="HI119" s="499"/>
      <c r="HJ119" s="499"/>
      <c r="HK119" s="499"/>
      <c r="HL119" s="499"/>
      <c r="HM119" s="499"/>
      <c r="HN119" s="499"/>
      <c r="HO119" s="499"/>
      <c r="HP119" s="499"/>
      <c r="HQ119" s="499"/>
      <c r="HR119" s="499"/>
      <c r="HS119" s="499"/>
      <c r="HT119" s="499"/>
      <c r="HU119" s="499"/>
      <c r="HV119" s="499"/>
      <c r="HW119" s="499"/>
      <c r="HX119" s="499"/>
      <c r="HY119" s="499"/>
      <c r="HZ119" s="499"/>
      <c r="IA119" s="499"/>
      <c r="IB119" s="499"/>
      <c r="IC119" s="499"/>
      <c r="ID119" s="499"/>
      <c r="IE119" s="499"/>
      <c r="IF119" s="499"/>
      <c r="IG119" s="499"/>
      <c r="IH119" s="499"/>
      <c r="II119" s="499"/>
      <c r="IJ119" s="499"/>
      <c r="IK119" s="499"/>
      <c r="IL119" s="499"/>
      <c r="IM119" s="499"/>
      <c r="IN119" s="499"/>
      <c r="IO119" s="499"/>
      <c r="IP119" s="499"/>
      <c r="IQ119" s="499"/>
      <c r="IR119" s="499"/>
      <c r="IS119" s="499"/>
      <c r="IT119" s="499"/>
      <c r="IU119" s="499"/>
      <c r="IV119" s="499"/>
    </row>
    <row r="120" spans="1:256" s="15" customFormat="1" ht="14.25" customHeight="1">
      <c r="A120" s="13"/>
      <c r="B120" s="513">
        <v>1.5</v>
      </c>
      <c r="C120" s="23" t="s">
        <v>544</v>
      </c>
      <c r="D120" s="23"/>
      <c r="E120" s="22"/>
      <c r="F120" s="271"/>
      <c r="G120" s="22"/>
      <c r="H120" s="22"/>
      <c r="I120" s="24"/>
      <c r="J120" s="24"/>
      <c r="K120" s="24"/>
      <c r="L120" s="24"/>
      <c r="M120" s="24"/>
      <c r="N120" s="13"/>
      <c r="O120" s="113"/>
      <c r="T120" s="113"/>
      <c r="V120" s="113"/>
      <c r="W120" s="113"/>
      <c r="X120" s="113"/>
      <c r="Y120" s="113"/>
    </row>
    <row r="121" spans="1:256" ht="16.5" customHeight="1" thickBot="1">
      <c r="A121" s="2"/>
      <c r="B121" s="521"/>
      <c r="C121" s="24"/>
      <c r="D121" s="114"/>
      <c r="E121" s="23"/>
      <c r="F121" s="22"/>
      <c r="I121" s="24"/>
      <c r="J121" s="24"/>
      <c r="K121" s="24"/>
      <c r="L121" s="148" t="s">
        <v>2</v>
      </c>
      <c r="M121" s="145">
        <f>重み!M88</f>
        <v>0.1</v>
      </c>
      <c r="N121" s="2"/>
      <c r="O121" s="29">
        <f>C121</f>
        <v>0</v>
      </c>
      <c r="P121" s="29">
        <f>D121</f>
        <v>0</v>
      </c>
      <c r="Q121" s="29">
        <f>E121</f>
        <v>0</v>
      </c>
      <c r="R121" s="29">
        <f>F121</f>
        <v>0</v>
      </c>
      <c r="S121" s="29" t="str">
        <f>L121</f>
        <v>重み係数＝</v>
      </c>
      <c r="T121" s="29">
        <f>M121</f>
        <v>0.1</v>
      </c>
      <c r="U121" s="29">
        <f>I121</f>
        <v>0</v>
      </c>
      <c r="V121" s="29">
        <f>J121</f>
        <v>0</v>
      </c>
      <c r="W121" s="29">
        <f>K121</f>
        <v>0</v>
      </c>
      <c r="X121" s="29" t="e">
        <f>#REF!</f>
        <v>#REF!</v>
      </c>
      <c r="Y121" s="113"/>
    </row>
    <row r="122" spans="1:256" ht="16.5" customHeight="1" thickBot="1">
      <c r="A122" s="2"/>
      <c r="B122" s="521"/>
      <c r="C122" s="24"/>
      <c r="D122" s="864">
        <f>IF(COUNTIF(E130:E133,U4)&gt;0,5,3)</f>
        <v>3</v>
      </c>
      <c r="E122" s="2934" t="s">
        <v>415</v>
      </c>
      <c r="F122" s="2935"/>
      <c r="G122" s="2935"/>
      <c r="H122" s="2935"/>
      <c r="I122" s="2935"/>
      <c r="J122" s="2935"/>
      <c r="K122" s="2935"/>
      <c r="L122" s="2935"/>
      <c r="M122" s="2936"/>
      <c r="N122" s="2"/>
      <c r="O122" s="121"/>
      <c r="P122" s="29"/>
      <c r="Q122" s="121"/>
      <c r="R122" s="29"/>
      <c r="S122" s="29"/>
      <c r="T122" s="29"/>
      <c r="U122" s="29"/>
      <c r="V122" s="29"/>
      <c r="W122" s="29"/>
      <c r="X122" s="29"/>
    </row>
    <row r="123" spans="1:256" ht="16.5" customHeight="1">
      <c r="A123" s="2"/>
      <c r="B123" s="521"/>
      <c r="C123" s="24"/>
      <c r="D123" s="25" t="str">
        <f>IF(D122=$Q$18,$R$13,IF(ROUNDDOWN(D122,0)=$Q$13,$S$13,$R$13))</f>
        <v>　レベル　1</v>
      </c>
      <c r="E123" s="438" t="s">
        <v>409</v>
      </c>
      <c r="F123" s="487"/>
      <c r="G123" s="487"/>
      <c r="H123" s="487"/>
      <c r="I123" s="487"/>
      <c r="J123" s="487"/>
      <c r="K123" s="487"/>
      <c r="L123" s="487"/>
      <c r="M123" s="488"/>
      <c r="N123" s="2"/>
      <c r="O123" s="121"/>
      <c r="P123" s="491" t="s">
        <v>55</v>
      </c>
      <c r="Q123" s="121"/>
      <c r="S123" s="29"/>
      <c r="T123" s="29"/>
      <c r="U123" s="491">
        <f>$Q$13</f>
        <v>1</v>
      </c>
      <c r="X123" s="29"/>
    </row>
    <row r="124" spans="1:256" ht="16.5" customHeight="1">
      <c r="A124" s="2"/>
      <c r="B124" s="521"/>
      <c r="C124" s="24"/>
      <c r="D124" s="28" t="str">
        <f>IF(D122=$Q$18,$R$14,IF(ROUNDDOWN(D122,0)=$Q$14,$S$14,$R$14))</f>
        <v>　レベル　2</v>
      </c>
      <c r="E124" s="439" t="s">
        <v>409</v>
      </c>
      <c r="F124" s="489"/>
      <c r="G124" s="489"/>
      <c r="H124" s="489"/>
      <c r="I124" s="489"/>
      <c r="J124" s="489"/>
      <c r="K124" s="489"/>
      <c r="L124" s="489"/>
      <c r="M124" s="490"/>
      <c r="N124" s="2"/>
      <c r="O124" s="121"/>
      <c r="P124" s="491" t="s">
        <v>55</v>
      </c>
      <c r="Q124" s="121"/>
      <c r="S124" s="29"/>
      <c r="T124" s="29"/>
      <c r="U124" s="491">
        <f>$Q$14</f>
        <v>2</v>
      </c>
      <c r="X124" s="29"/>
    </row>
    <row r="125" spans="1:256" ht="16.5" customHeight="1">
      <c r="A125" s="2"/>
      <c r="B125" s="521"/>
      <c r="C125" s="24"/>
      <c r="D125" s="28" t="str">
        <f>IF(D122=$Q$18,$R$15,IF(ROUNDDOWN(D122,0)=$Q$15,$S$15,$R$15))</f>
        <v>■レベル　3</v>
      </c>
      <c r="E125" s="439" t="s">
        <v>259</v>
      </c>
      <c r="F125" s="489"/>
      <c r="G125" s="489"/>
      <c r="H125" s="489"/>
      <c r="I125" s="489"/>
      <c r="J125" s="489"/>
      <c r="K125" s="489"/>
      <c r="L125" s="489"/>
      <c r="M125" s="490"/>
      <c r="N125" s="2"/>
      <c r="O125" s="121"/>
      <c r="P125" s="491">
        <f>$Q$15</f>
        <v>3</v>
      </c>
      <c r="Q125" s="121"/>
      <c r="S125" s="29"/>
      <c r="T125" s="29"/>
      <c r="U125" s="491">
        <f>$Q$15</f>
        <v>3</v>
      </c>
      <c r="X125" s="29"/>
    </row>
    <row r="126" spans="1:256" ht="16.5" customHeight="1">
      <c r="A126" s="2"/>
      <c r="B126" s="521"/>
      <c r="C126" s="24"/>
      <c r="D126" s="28" t="str">
        <f>IF(D122=$Q$18,$R$16,IF(ROUNDDOWN(D122,0)=$Q$16,$S$16,$R$16))</f>
        <v>　レベル　4</v>
      </c>
      <c r="E126" s="451" t="s">
        <v>409</v>
      </c>
      <c r="F126" s="2630"/>
      <c r="G126" s="2630"/>
      <c r="H126" s="2630"/>
      <c r="I126" s="2630"/>
      <c r="J126" s="2630"/>
      <c r="K126" s="2630"/>
      <c r="L126" s="2630"/>
      <c r="M126" s="2631"/>
      <c r="N126" s="2"/>
      <c r="O126" s="121"/>
      <c r="P126" s="491" t="s">
        <v>55</v>
      </c>
      <c r="Q126" s="121"/>
      <c r="S126" s="29"/>
      <c r="T126" s="29"/>
      <c r="U126" s="491">
        <f>$Q$16</f>
        <v>4</v>
      </c>
      <c r="X126" s="29"/>
    </row>
    <row r="127" spans="1:256" ht="16.5" customHeight="1">
      <c r="A127" s="2"/>
      <c r="B127" s="521"/>
      <c r="C127" s="24"/>
      <c r="D127" s="26" t="str">
        <f>IF(D122=$Q$18,$R$17,IF(ROUNDDOWN(D122,0)=$Q$17,$S$17,$R$17))</f>
        <v>　レベル　5</v>
      </c>
      <c r="E127" s="473" t="s">
        <v>260</v>
      </c>
      <c r="F127" s="2632"/>
      <c r="G127" s="2632"/>
      <c r="H127" s="2632"/>
      <c r="I127" s="2632"/>
      <c r="J127" s="2632"/>
      <c r="K127" s="2632"/>
      <c r="L127" s="2632"/>
      <c r="M127" s="2633"/>
      <c r="N127" s="2"/>
      <c r="O127" s="121"/>
      <c r="P127" s="491">
        <f>$Q$17</f>
        <v>5</v>
      </c>
      <c r="Q127" s="121"/>
      <c r="S127" s="29"/>
      <c r="T127" s="29"/>
      <c r="U127" s="491">
        <f>$Q$17</f>
        <v>5</v>
      </c>
      <c r="X127" s="29"/>
    </row>
    <row r="128" spans="1:256" ht="16.5" customHeight="1">
      <c r="A128" s="2"/>
      <c r="B128" s="521"/>
      <c r="C128" s="24"/>
      <c r="D128" s="24"/>
      <c r="E128" s="127" t="s">
        <v>35</v>
      </c>
      <c r="F128" s="19"/>
      <c r="G128" s="126"/>
      <c r="H128" s="32"/>
      <c r="I128" s="32"/>
      <c r="J128" s="19"/>
      <c r="K128" s="19"/>
      <c r="L128" s="19"/>
      <c r="M128" s="19"/>
      <c r="N128" s="24"/>
      <c r="O128" s="121"/>
      <c r="P128" s="491" t="s">
        <v>68</v>
      </c>
      <c r="Q128" s="284" t="s">
        <v>87</v>
      </c>
      <c r="S128" s="29"/>
      <c r="T128" s="29"/>
      <c r="U128" s="491" t="str">
        <f>$Q$18</f>
        <v>対象外</v>
      </c>
      <c r="X128" s="29"/>
      <c r="Y128" s="499"/>
      <c r="Z128" s="499"/>
      <c r="AA128" s="499"/>
      <c r="AB128" s="499"/>
      <c r="AC128" s="499"/>
      <c r="AD128" s="499"/>
      <c r="AE128" s="499"/>
      <c r="AF128" s="499"/>
      <c r="AG128" s="499"/>
      <c r="AH128" s="499"/>
      <c r="AI128" s="499"/>
      <c r="AJ128" s="499"/>
      <c r="AK128" s="499"/>
      <c r="AL128" s="499"/>
      <c r="AM128" s="499"/>
      <c r="AN128" s="499"/>
      <c r="AO128" s="499"/>
      <c r="AP128" s="499"/>
      <c r="AQ128" s="499"/>
      <c r="AR128" s="499"/>
      <c r="AS128" s="499"/>
      <c r="AT128" s="499"/>
      <c r="AU128" s="499"/>
      <c r="AV128" s="499"/>
      <c r="AW128" s="499"/>
      <c r="AX128" s="499"/>
      <c r="AY128" s="499"/>
      <c r="AZ128" s="499"/>
      <c r="BA128" s="499"/>
      <c r="BB128" s="499"/>
      <c r="BC128" s="499"/>
      <c r="BD128" s="499"/>
      <c r="BE128" s="499"/>
      <c r="BF128" s="499"/>
      <c r="BG128" s="499"/>
      <c r="BH128" s="499"/>
      <c r="BI128" s="499"/>
      <c r="BJ128" s="499"/>
      <c r="BK128" s="499"/>
      <c r="BL128" s="499"/>
      <c r="BM128" s="499"/>
      <c r="BN128" s="499"/>
      <c r="BO128" s="499"/>
      <c r="BP128" s="499"/>
      <c r="BQ128" s="499"/>
      <c r="BR128" s="499"/>
      <c r="BS128" s="499"/>
      <c r="BT128" s="499"/>
      <c r="BU128" s="499"/>
      <c r="BV128" s="499"/>
      <c r="BW128" s="499"/>
      <c r="BX128" s="499"/>
      <c r="BY128" s="499"/>
      <c r="BZ128" s="499"/>
      <c r="CA128" s="499"/>
      <c r="CB128" s="499"/>
      <c r="CC128" s="499"/>
      <c r="CD128" s="499"/>
      <c r="CE128" s="499"/>
      <c r="CF128" s="499"/>
      <c r="CG128" s="499"/>
      <c r="CH128" s="499"/>
      <c r="CI128" s="499"/>
      <c r="CJ128" s="499"/>
      <c r="CK128" s="499"/>
      <c r="CL128" s="499"/>
      <c r="CM128" s="499"/>
      <c r="CN128" s="499"/>
      <c r="CO128" s="499"/>
      <c r="CP128" s="499"/>
      <c r="CQ128" s="499"/>
      <c r="CR128" s="499"/>
      <c r="CS128" s="499"/>
      <c r="CT128" s="499"/>
      <c r="CU128" s="499"/>
      <c r="CV128" s="499"/>
      <c r="CW128" s="499"/>
      <c r="CX128" s="499"/>
      <c r="CY128" s="499"/>
      <c r="CZ128" s="499"/>
      <c r="DA128" s="499"/>
      <c r="DB128" s="499"/>
      <c r="DC128" s="499"/>
      <c r="DD128" s="499"/>
      <c r="DE128" s="499"/>
      <c r="DF128" s="499"/>
      <c r="DG128" s="499"/>
      <c r="DH128" s="499"/>
      <c r="DI128" s="499"/>
      <c r="DJ128" s="499"/>
      <c r="DK128" s="499"/>
      <c r="DL128" s="499"/>
      <c r="DM128" s="499"/>
      <c r="DN128" s="499"/>
      <c r="DO128" s="499"/>
      <c r="DP128" s="499"/>
      <c r="DQ128" s="499"/>
      <c r="DR128" s="499"/>
      <c r="DS128" s="499"/>
      <c r="DT128" s="499"/>
      <c r="DU128" s="499"/>
      <c r="DV128" s="499"/>
      <c r="DW128" s="499"/>
      <c r="DX128" s="499"/>
      <c r="DY128" s="499"/>
      <c r="DZ128" s="499"/>
      <c r="EA128" s="499"/>
      <c r="EB128" s="499"/>
      <c r="EC128" s="499"/>
      <c r="ED128" s="499"/>
      <c r="EE128" s="499"/>
      <c r="EF128" s="499"/>
      <c r="EG128" s="499"/>
      <c r="EH128" s="499"/>
      <c r="EI128" s="499"/>
      <c r="EJ128" s="499"/>
      <c r="EK128" s="499"/>
      <c r="EL128" s="499"/>
      <c r="EM128" s="499"/>
      <c r="EN128" s="499"/>
      <c r="EO128" s="499"/>
      <c r="EP128" s="499"/>
      <c r="EQ128" s="499"/>
      <c r="ER128" s="499"/>
      <c r="ES128" s="499"/>
      <c r="ET128" s="499"/>
      <c r="EU128" s="499"/>
      <c r="EV128" s="499"/>
      <c r="EW128" s="499"/>
      <c r="EX128" s="499"/>
      <c r="EY128" s="499"/>
      <c r="EZ128" s="499"/>
      <c r="FA128" s="499"/>
      <c r="FB128" s="499"/>
      <c r="FC128" s="499"/>
      <c r="FD128" s="499"/>
      <c r="FE128" s="499"/>
      <c r="FF128" s="499"/>
      <c r="FG128" s="499"/>
      <c r="FH128" s="499"/>
      <c r="FI128" s="499"/>
      <c r="FJ128" s="499"/>
      <c r="FK128" s="499"/>
      <c r="FL128" s="499"/>
      <c r="FM128" s="499"/>
      <c r="FN128" s="499"/>
      <c r="FO128" s="499"/>
      <c r="FP128" s="499"/>
      <c r="FQ128" s="499"/>
      <c r="FR128" s="499"/>
      <c r="FS128" s="499"/>
      <c r="FT128" s="499"/>
      <c r="FU128" s="499"/>
      <c r="FV128" s="499"/>
      <c r="FW128" s="499"/>
      <c r="FX128" s="499"/>
      <c r="FY128" s="499"/>
      <c r="FZ128" s="499"/>
      <c r="GA128" s="499"/>
      <c r="GB128" s="499"/>
      <c r="GC128" s="499"/>
      <c r="GD128" s="499"/>
      <c r="GE128" s="499"/>
      <c r="GF128" s="499"/>
      <c r="GG128" s="499"/>
      <c r="GH128" s="499"/>
      <c r="GI128" s="499"/>
      <c r="GJ128" s="499"/>
      <c r="GK128" s="499"/>
      <c r="GL128" s="499"/>
      <c r="GM128" s="499"/>
      <c r="GN128" s="499"/>
      <c r="GO128" s="499"/>
      <c r="GP128" s="499"/>
      <c r="GQ128" s="499"/>
      <c r="GR128" s="499"/>
      <c r="GS128" s="499"/>
      <c r="GT128" s="499"/>
      <c r="GU128" s="499"/>
      <c r="GV128" s="499"/>
      <c r="GW128" s="499"/>
      <c r="GX128" s="499"/>
      <c r="GY128" s="499"/>
      <c r="GZ128" s="499"/>
      <c r="HA128" s="499"/>
      <c r="HB128" s="499"/>
      <c r="HC128" s="499"/>
      <c r="HD128" s="499"/>
      <c r="HE128" s="499"/>
      <c r="HF128" s="499"/>
      <c r="HG128" s="499"/>
      <c r="HH128" s="499"/>
      <c r="HI128" s="499"/>
      <c r="HJ128" s="499"/>
      <c r="HK128" s="499"/>
      <c r="HL128" s="499"/>
      <c r="HM128" s="499"/>
      <c r="HN128" s="499"/>
      <c r="HO128" s="499"/>
      <c r="HP128" s="499"/>
      <c r="HQ128" s="499"/>
      <c r="HR128" s="499"/>
      <c r="HS128" s="499"/>
      <c r="HT128" s="499"/>
      <c r="HU128" s="499"/>
      <c r="HV128" s="499"/>
      <c r="HW128" s="499"/>
      <c r="HX128" s="499"/>
      <c r="HY128" s="499"/>
      <c r="HZ128" s="499"/>
      <c r="IA128" s="499"/>
      <c r="IB128" s="499"/>
      <c r="IC128" s="499"/>
      <c r="ID128" s="499"/>
      <c r="IE128" s="499"/>
      <c r="IF128" s="499"/>
      <c r="IG128" s="499"/>
      <c r="IH128" s="499"/>
      <c r="II128" s="499"/>
      <c r="IJ128" s="499"/>
      <c r="IK128" s="499"/>
      <c r="IL128" s="499"/>
      <c r="IM128" s="499"/>
      <c r="IN128" s="499"/>
      <c r="IO128" s="499"/>
      <c r="IP128" s="499"/>
      <c r="IQ128" s="499"/>
      <c r="IR128" s="499"/>
      <c r="IS128" s="499"/>
      <c r="IT128" s="499"/>
      <c r="IU128" s="499"/>
      <c r="IV128" s="499"/>
    </row>
    <row r="129" spans="1:256" ht="16.5" customHeight="1" thickBot="1">
      <c r="A129" s="2"/>
      <c r="B129" s="521"/>
      <c r="C129" s="24"/>
      <c r="D129" s="24"/>
      <c r="E129" s="119" t="s">
        <v>351</v>
      </c>
      <c r="F129" s="482" t="s">
        <v>78</v>
      </c>
      <c r="G129" s="3003" t="s">
        <v>80</v>
      </c>
      <c r="H129" s="3004"/>
      <c r="I129" s="3004"/>
      <c r="J129" s="3004"/>
      <c r="K129" s="3004"/>
      <c r="L129" s="3004"/>
      <c r="M129" s="3005"/>
      <c r="N129" s="24"/>
      <c r="O129" s="121"/>
      <c r="P129" s="511"/>
      <c r="Q129" s="121"/>
      <c r="S129" s="29"/>
      <c r="T129" s="29"/>
      <c r="U129" s="511"/>
      <c r="X129" s="29"/>
      <c r="Y129" s="499"/>
      <c r="Z129" s="499"/>
      <c r="AA129" s="499"/>
      <c r="AB129" s="499"/>
      <c r="AC129" s="499"/>
      <c r="AD129" s="499"/>
      <c r="AE129" s="499"/>
      <c r="AF129" s="499"/>
      <c r="AG129" s="499"/>
      <c r="AH129" s="499"/>
      <c r="AI129" s="499"/>
      <c r="AJ129" s="499"/>
      <c r="AK129" s="499"/>
      <c r="AL129" s="499"/>
      <c r="AM129" s="499"/>
      <c r="AN129" s="499"/>
      <c r="AO129" s="499"/>
      <c r="AP129" s="499"/>
      <c r="AQ129" s="499"/>
      <c r="AR129" s="499"/>
      <c r="AS129" s="499"/>
      <c r="AT129" s="499"/>
      <c r="AU129" s="499"/>
      <c r="AV129" s="499"/>
      <c r="AW129" s="499"/>
      <c r="AX129" s="499"/>
      <c r="AY129" s="499"/>
      <c r="AZ129" s="499"/>
      <c r="BA129" s="499"/>
      <c r="BB129" s="499"/>
      <c r="BC129" s="499"/>
      <c r="BD129" s="499"/>
      <c r="BE129" s="499"/>
      <c r="BF129" s="499"/>
      <c r="BG129" s="499"/>
      <c r="BH129" s="499"/>
      <c r="BI129" s="499"/>
      <c r="BJ129" s="499"/>
      <c r="BK129" s="499"/>
      <c r="BL129" s="499"/>
      <c r="BM129" s="499"/>
      <c r="BN129" s="499"/>
      <c r="BO129" s="499"/>
      <c r="BP129" s="499"/>
      <c r="BQ129" s="499"/>
      <c r="BR129" s="499"/>
      <c r="BS129" s="499"/>
      <c r="BT129" s="499"/>
      <c r="BU129" s="499"/>
      <c r="BV129" s="499"/>
      <c r="BW129" s="499"/>
      <c r="BX129" s="499"/>
      <c r="BY129" s="499"/>
      <c r="BZ129" s="499"/>
      <c r="CA129" s="499"/>
      <c r="CB129" s="499"/>
      <c r="CC129" s="499"/>
      <c r="CD129" s="499"/>
      <c r="CE129" s="499"/>
      <c r="CF129" s="499"/>
      <c r="CG129" s="499"/>
      <c r="CH129" s="499"/>
      <c r="CI129" s="499"/>
      <c r="CJ129" s="499"/>
      <c r="CK129" s="499"/>
      <c r="CL129" s="499"/>
      <c r="CM129" s="499"/>
      <c r="CN129" s="499"/>
      <c r="CO129" s="499"/>
      <c r="CP129" s="499"/>
      <c r="CQ129" s="499"/>
      <c r="CR129" s="499"/>
      <c r="CS129" s="499"/>
      <c r="CT129" s="499"/>
      <c r="CU129" s="499"/>
      <c r="CV129" s="499"/>
      <c r="CW129" s="499"/>
      <c r="CX129" s="499"/>
      <c r="CY129" s="499"/>
      <c r="CZ129" s="499"/>
      <c r="DA129" s="499"/>
      <c r="DB129" s="499"/>
      <c r="DC129" s="499"/>
      <c r="DD129" s="499"/>
      <c r="DE129" s="499"/>
      <c r="DF129" s="499"/>
      <c r="DG129" s="499"/>
      <c r="DH129" s="499"/>
      <c r="DI129" s="499"/>
      <c r="DJ129" s="499"/>
      <c r="DK129" s="499"/>
      <c r="DL129" s="499"/>
      <c r="DM129" s="499"/>
      <c r="DN129" s="499"/>
      <c r="DO129" s="499"/>
      <c r="DP129" s="499"/>
      <c r="DQ129" s="499"/>
      <c r="DR129" s="499"/>
      <c r="DS129" s="499"/>
      <c r="DT129" s="499"/>
      <c r="DU129" s="499"/>
      <c r="DV129" s="499"/>
      <c r="DW129" s="499"/>
      <c r="DX129" s="499"/>
      <c r="DY129" s="499"/>
      <c r="DZ129" s="499"/>
      <c r="EA129" s="499"/>
      <c r="EB129" s="499"/>
      <c r="EC129" s="499"/>
      <c r="ED129" s="499"/>
      <c r="EE129" s="499"/>
      <c r="EF129" s="499"/>
      <c r="EG129" s="499"/>
      <c r="EH129" s="499"/>
      <c r="EI129" s="499"/>
      <c r="EJ129" s="499"/>
      <c r="EK129" s="499"/>
      <c r="EL129" s="499"/>
      <c r="EM129" s="499"/>
      <c r="EN129" s="499"/>
      <c r="EO129" s="499"/>
      <c r="EP129" s="499"/>
      <c r="EQ129" s="499"/>
      <c r="ER129" s="499"/>
      <c r="ES129" s="499"/>
      <c r="ET129" s="499"/>
      <c r="EU129" s="499"/>
      <c r="EV129" s="499"/>
      <c r="EW129" s="499"/>
      <c r="EX129" s="499"/>
      <c r="EY129" s="499"/>
      <c r="EZ129" s="499"/>
      <c r="FA129" s="499"/>
      <c r="FB129" s="499"/>
      <c r="FC129" s="499"/>
      <c r="FD129" s="499"/>
      <c r="FE129" s="499"/>
      <c r="FF129" s="499"/>
      <c r="FG129" s="499"/>
      <c r="FH129" s="499"/>
      <c r="FI129" s="499"/>
      <c r="FJ129" s="499"/>
      <c r="FK129" s="499"/>
      <c r="FL129" s="499"/>
      <c r="FM129" s="499"/>
      <c r="FN129" s="499"/>
      <c r="FO129" s="499"/>
      <c r="FP129" s="499"/>
      <c r="FQ129" s="499"/>
      <c r="FR129" s="499"/>
      <c r="FS129" s="499"/>
      <c r="FT129" s="499"/>
      <c r="FU129" s="499"/>
      <c r="FV129" s="499"/>
      <c r="FW129" s="499"/>
      <c r="FX129" s="499"/>
      <c r="FY129" s="499"/>
      <c r="FZ129" s="499"/>
      <c r="GA129" s="499"/>
      <c r="GB129" s="499"/>
      <c r="GC129" s="499"/>
      <c r="GD129" s="499"/>
      <c r="GE129" s="499"/>
      <c r="GF129" s="499"/>
      <c r="GG129" s="499"/>
      <c r="GH129" s="499"/>
      <c r="GI129" s="499"/>
      <c r="GJ129" s="499"/>
      <c r="GK129" s="499"/>
      <c r="GL129" s="499"/>
      <c r="GM129" s="499"/>
      <c r="GN129" s="499"/>
      <c r="GO129" s="499"/>
      <c r="GP129" s="499"/>
      <c r="GQ129" s="499"/>
      <c r="GR129" s="499"/>
      <c r="GS129" s="499"/>
      <c r="GT129" s="499"/>
      <c r="GU129" s="499"/>
      <c r="GV129" s="499"/>
      <c r="GW129" s="499"/>
      <c r="GX129" s="499"/>
      <c r="GY129" s="499"/>
      <c r="GZ129" s="499"/>
      <c r="HA129" s="499"/>
      <c r="HB129" s="499"/>
      <c r="HC129" s="499"/>
      <c r="HD129" s="499"/>
      <c r="HE129" s="499"/>
      <c r="HF129" s="499"/>
      <c r="HG129" s="499"/>
      <c r="HH129" s="499"/>
      <c r="HI129" s="499"/>
      <c r="HJ129" s="499"/>
      <c r="HK129" s="499"/>
      <c r="HL129" s="499"/>
      <c r="HM129" s="499"/>
      <c r="HN129" s="499"/>
      <c r="HO129" s="499"/>
      <c r="HP129" s="499"/>
      <c r="HQ129" s="499"/>
      <c r="HR129" s="499"/>
      <c r="HS129" s="499"/>
      <c r="HT129" s="499"/>
      <c r="HU129" s="499"/>
      <c r="HV129" s="499"/>
      <c r="HW129" s="499"/>
      <c r="HX129" s="499"/>
      <c r="HY129" s="499"/>
      <c r="HZ129" s="499"/>
      <c r="IA129" s="499"/>
      <c r="IB129" s="499"/>
      <c r="IC129" s="499"/>
      <c r="ID129" s="499"/>
      <c r="IE129" s="499"/>
      <c r="IF129" s="499"/>
      <c r="IG129" s="499"/>
      <c r="IH129" s="499"/>
      <c r="II129" s="499"/>
      <c r="IJ129" s="499"/>
      <c r="IK129" s="499"/>
      <c r="IL129" s="499"/>
      <c r="IM129" s="499"/>
      <c r="IN129" s="499"/>
      <c r="IO129" s="499"/>
      <c r="IP129" s="499"/>
      <c r="IQ129" s="499"/>
      <c r="IR129" s="499"/>
      <c r="IS129" s="499"/>
      <c r="IT129" s="499"/>
      <c r="IU129" s="499"/>
      <c r="IV129" s="499"/>
    </row>
    <row r="130" spans="1:256" s="15" customFormat="1" ht="60.75" customHeight="1">
      <c r="A130" s="13"/>
      <c r="B130" s="521"/>
      <c r="C130" s="23"/>
      <c r="E130" s="330"/>
      <c r="F130" s="428">
        <v>1</v>
      </c>
      <c r="G130" s="522" t="s">
        <v>678</v>
      </c>
      <c r="H130" s="2714"/>
      <c r="I130" s="2714"/>
      <c r="J130" s="3061" t="s">
        <v>681</v>
      </c>
      <c r="K130" s="3062"/>
      <c r="L130" s="3062"/>
      <c r="M130" s="3063"/>
      <c r="N130" s="13"/>
      <c r="O130" s="147"/>
      <c r="P130"/>
      <c r="Q130" s="147"/>
      <c r="R130" s="264"/>
      <c r="S130" s="264"/>
      <c r="T130" s="264"/>
      <c r="U130" s="264"/>
      <c r="V130" s="264"/>
      <c r="W130" s="264"/>
      <c r="X130" s="264"/>
      <c r="Y130" s="113"/>
    </row>
    <row r="131" spans="1:256" s="15" customFormat="1" ht="24" customHeight="1">
      <c r="A131" s="13"/>
      <c r="B131" s="521"/>
      <c r="C131" s="23"/>
      <c r="E131" s="449"/>
      <c r="F131" s="483">
        <v>2</v>
      </c>
      <c r="G131" s="617" t="s">
        <v>811</v>
      </c>
      <c r="H131" s="2715"/>
      <c r="I131" s="2715"/>
      <c r="J131" s="3058" t="s">
        <v>812</v>
      </c>
      <c r="K131" s="3059"/>
      <c r="L131" s="3059"/>
      <c r="M131" s="3060"/>
      <c r="N131" s="13"/>
      <c r="O131" s="147"/>
      <c r="P131"/>
      <c r="Q131" s="147"/>
      <c r="R131" s="264"/>
      <c r="S131" s="264"/>
      <c r="T131" s="264"/>
      <c r="U131" s="264"/>
      <c r="V131" s="264"/>
      <c r="W131" s="264"/>
      <c r="X131" s="264"/>
      <c r="Y131" s="113"/>
    </row>
    <row r="132" spans="1:256" s="15" customFormat="1" ht="51" customHeight="1">
      <c r="A132" s="13"/>
      <c r="B132" s="521"/>
      <c r="C132" s="23"/>
      <c r="E132" s="449"/>
      <c r="F132" s="471">
        <v>3</v>
      </c>
      <c r="G132" s="146" t="s">
        <v>679</v>
      </c>
      <c r="H132" s="430"/>
      <c r="I132" s="430"/>
      <c r="J132" s="3058" t="s">
        <v>682</v>
      </c>
      <c r="K132" s="3059"/>
      <c r="L132" s="3059"/>
      <c r="M132" s="3060"/>
      <c r="N132" s="13"/>
      <c r="O132" s="147"/>
      <c r="P132"/>
      <c r="Q132" s="147"/>
      <c r="R132" s="264"/>
      <c r="S132" s="264"/>
      <c r="T132" s="264"/>
      <c r="U132" s="264"/>
      <c r="V132" s="264"/>
      <c r="W132" s="264"/>
      <c r="X132" s="264"/>
      <c r="Y132" s="113"/>
    </row>
    <row r="133" spans="1:256" s="15" customFormat="1" ht="42" customHeight="1" thickBot="1">
      <c r="A133" s="13"/>
      <c r="B133" s="521"/>
      <c r="C133" s="23"/>
      <c r="E133" s="331"/>
      <c r="F133" s="472">
        <v>4</v>
      </c>
      <c r="G133" s="2963" t="s">
        <v>680</v>
      </c>
      <c r="H133" s="2964"/>
      <c r="I133" s="2965"/>
      <c r="J133" s="3064" t="s">
        <v>683</v>
      </c>
      <c r="K133" s="3065"/>
      <c r="L133" s="3065"/>
      <c r="M133" s="3066"/>
      <c r="N133" s="13"/>
      <c r="O133" s="147"/>
      <c r="P133"/>
      <c r="Q133" s="147"/>
      <c r="R133" s="264"/>
      <c r="S133" s="264"/>
      <c r="T133" s="264"/>
      <c r="U133" s="264"/>
      <c r="V133" s="264"/>
      <c r="W133" s="264"/>
      <c r="X133" s="264"/>
      <c r="Y133" s="113"/>
    </row>
    <row r="134" spans="1:256" s="29" customFormat="1" ht="8.25" customHeight="1">
      <c r="A134" s="19"/>
      <c r="B134" s="137"/>
      <c r="C134" s="504"/>
      <c r="D134" s="270"/>
      <c r="E134" s="270"/>
      <c r="F134" s="2"/>
      <c r="G134" s="2"/>
      <c r="H134" s="2"/>
      <c r="I134" s="2"/>
      <c r="J134" s="2"/>
      <c r="K134" s="2"/>
      <c r="L134" s="2"/>
      <c r="M134" s="2"/>
      <c r="N134" s="22"/>
      <c r="P134"/>
      <c r="R134" s="4"/>
      <c r="S134" s="4"/>
      <c r="T134" s="113"/>
    </row>
    <row r="135" spans="1:256" s="29" customFormat="1" ht="21" customHeight="1">
      <c r="A135" s="19"/>
      <c r="B135" s="137"/>
      <c r="C135" s="504"/>
      <c r="E135" s="646" t="s">
        <v>3</v>
      </c>
      <c r="F135" s="647"/>
      <c r="G135" s="2441"/>
      <c r="H135" s="2442"/>
      <c r="I135" s="990"/>
      <c r="J135" s="990"/>
      <c r="K135" s="990"/>
      <c r="L135" s="990"/>
      <c r="M135" s="991"/>
      <c r="N135" s="22"/>
      <c r="P135"/>
      <c r="Q135" s="284"/>
      <c r="R135" s="4"/>
      <c r="S135" s="4"/>
      <c r="T135" s="113"/>
      <c r="U135" s="511"/>
      <c r="V135" s="113"/>
      <c r="W135" s="113"/>
      <c r="X135" s="113"/>
      <c r="Y135" s="113"/>
    </row>
    <row r="136" spans="1:256" ht="20.25" customHeight="1">
      <c r="A136" s="2"/>
      <c r="B136" s="521"/>
      <c r="C136" s="24"/>
      <c r="E136" s="24"/>
      <c r="F136" s="24"/>
      <c r="G136" s="24"/>
      <c r="H136" s="135"/>
      <c r="J136" s="135"/>
      <c r="K136" s="135"/>
      <c r="L136" s="135"/>
      <c r="M136" s="135"/>
      <c r="N136" s="24"/>
      <c r="O136" s="499"/>
      <c r="P136"/>
    </row>
    <row r="137" spans="1:256" s="15" customFormat="1" ht="14.25" customHeight="1">
      <c r="A137" s="13"/>
      <c r="B137" s="513">
        <v>2</v>
      </c>
      <c r="C137" s="23" t="s">
        <v>2157</v>
      </c>
      <c r="D137" s="22"/>
      <c r="E137" s="22"/>
      <c r="F137" s="22"/>
      <c r="G137" s="22"/>
      <c r="H137" s="22"/>
      <c r="I137" s="22"/>
      <c r="J137" s="22"/>
      <c r="K137" s="22"/>
      <c r="L137" s="22"/>
      <c r="M137" s="22"/>
      <c r="N137" s="13"/>
    </row>
    <row r="138" spans="1:256" s="15" customFormat="1" ht="14.25" customHeight="1">
      <c r="A138" s="13"/>
      <c r="B138" s="137">
        <v>2.1</v>
      </c>
      <c r="C138" s="23" t="s">
        <v>573</v>
      </c>
      <c r="D138" s="22"/>
      <c r="E138" s="271"/>
      <c r="F138" s="22"/>
      <c r="G138" s="22"/>
      <c r="H138" s="22"/>
      <c r="I138" s="22"/>
      <c r="J138" s="22"/>
      <c r="K138" s="22"/>
      <c r="L138" s="22"/>
      <c r="M138" s="22"/>
      <c r="N138" s="13"/>
    </row>
    <row r="139" spans="1:256" ht="16.5" customHeight="1" thickBot="1">
      <c r="A139" s="2"/>
      <c r="B139" s="521"/>
      <c r="C139" s="24"/>
      <c r="D139" s="114"/>
      <c r="E139" s="23"/>
      <c r="F139" s="22"/>
      <c r="I139" s="22"/>
      <c r="J139" s="22"/>
      <c r="K139" s="22"/>
      <c r="L139" s="148" t="s">
        <v>2</v>
      </c>
      <c r="M139" s="145">
        <f>重み!M90</f>
        <v>0.33333333333333331</v>
      </c>
      <c r="N139" s="2"/>
      <c r="O139" s="29">
        <f>C139</f>
        <v>0</v>
      </c>
      <c r="P139" s="29">
        <f>D139</f>
        <v>0</v>
      </c>
      <c r="Q139" s="29">
        <f>E139</f>
        <v>0</v>
      </c>
      <c r="R139" s="29">
        <f>F139</f>
        <v>0</v>
      </c>
      <c r="S139" s="29" t="str">
        <f>L139</f>
        <v>重み係数＝</v>
      </c>
      <c r="T139" s="29">
        <f>M139</f>
        <v>0.33333333333333331</v>
      </c>
      <c r="U139" s="29">
        <f>I139</f>
        <v>0</v>
      </c>
      <c r="V139" s="29">
        <f>J139</f>
        <v>0</v>
      </c>
      <c r="W139" s="29">
        <f>K139</f>
        <v>0</v>
      </c>
      <c r="X139" s="29" t="e">
        <f>#REF!</f>
        <v>#REF!</v>
      </c>
    </row>
    <row r="140" spans="1:256" ht="16.5" customHeight="1" thickBot="1">
      <c r="A140" s="2"/>
      <c r="B140" s="521"/>
      <c r="C140" s="24"/>
      <c r="D140" s="864">
        <v>3</v>
      </c>
      <c r="E140" s="2934" t="s">
        <v>415</v>
      </c>
      <c r="F140" s="2935"/>
      <c r="G140" s="2935"/>
      <c r="H140" s="2935"/>
      <c r="I140" s="2935"/>
      <c r="J140" s="2935"/>
      <c r="K140" s="2935"/>
      <c r="L140" s="2935"/>
      <c r="M140" s="2936"/>
      <c r="N140" s="2"/>
      <c r="O140" s="121"/>
      <c r="P140" s="29"/>
      <c r="Q140" s="121"/>
      <c r="R140" s="29"/>
      <c r="S140" s="29"/>
      <c r="T140" s="29"/>
      <c r="U140" s="29"/>
      <c r="V140" s="29"/>
      <c r="W140" s="29"/>
      <c r="X140" s="29"/>
    </row>
    <row r="141" spans="1:256" ht="16.5" customHeight="1">
      <c r="A141" s="2"/>
      <c r="B141" s="521"/>
      <c r="C141" s="24"/>
      <c r="D141" s="25" t="str">
        <f>IF(D140=$Q$18,$R$13,IF(ROUNDDOWN(D140,0)=$Q$13,$S$13,$R$13))</f>
        <v>　レベル　1</v>
      </c>
      <c r="E141" s="438" t="s">
        <v>409</v>
      </c>
      <c r="F141" s="487"/>
      <c r="G141" s="487"/>
      <c r="H141" s="487"/>
      <c r="I141" s="487"/>
      <c r="J141" s="487"/>
      <c r="K141" s="487"/>
      <c r="L141" s="487"/>
      <c r="M141" s="488"/>
      <c r="N141" s="2"/>
      <c r="O141" s="121"/>
      <c r="P141" s="491" t="s">
        <v>55</v>
      </c>
      <c r="Q141" s="121"/>
      <c r="S141" s="29"/>
      <c r="T141" s="29"/>
      <c r="U141" s="491">
        <f>$Q$13</f>
        <v>1</v>
      </c>
      <c r="X141" s="29"/>
    </row>
    <row r="142" spans="1:256" ht="16.5" customHeight="1">
      <c r="A142" s="2"/>
      <c r="B142" s="521"/>
      <c r="C142" s="24"/>
      <c r="D142" s="28" t="str">
        <f>IF(D140=$Q$18,$R$14,IF(ROUNDDOWN(D140,0)=$Q$14,$S$14,$R$14))</f>
        <v>　レベル　2</v>
      </c>
      <c r="E142" s="439" t="s">
        <v>409</v>
      </c>
      <c r="F142" s="489"/>
      <c r="G142" s="489"/>
      <c r="H142" s="489"/>
      <c r="I142" s="489"/>
      <c r="J142" s="489"/>
      <c r="K142" s="489"/>
      <c r="L142" s="489"/>
      <c r="M142" s="490"/>
      <c r="N142" s="2"/>
      <c r="O142" s="121"/>
      <c r="P142" s="491" t="s">
        <v>55</v>
      </c>
      <c r="Q142" s="121"/>
      <c r="S142" s="29"/>
      <c r="T142" s="29"/>
      <c r="U142" s="491">
        <f>$Q$14</f>
        <v>2</v>
      </c>
      <c r="X142" s="29"/>
    </row>
    <row r="143" spans="1:256" ht="16.5" customHeight="1">
      <c r="A143" s="2"/>
      <c r="B143" s="521"/>
      <c r="C143" s="24"/>
      <c r="D143" s="28" t="str">
        <f>IF(D140=$Q$18,$R$15,IF(ROUNDDOWN(D140,0)=$Q$15,$S$15,$R$15))</f>
        <v>■レベル　3</v>
      </c>
      <c r="E143" s="439" t="s">
        <v>25</v>
      </c>
      <c r="F143" s="489"/>
      <c r="G143" s="489"/>
      <c r="H143" s="489"/>
      <c r="I143" s="489"/>
      <c r="J143" s="489"/>
      <c r="K143" s="489"/>
      <c r="L143" s="489"/>
      <c r="M143" s="490"/>
      <c r="N143" s="2"/>
      <c r="O143" s="121"/>
      <c r="P143" s="491">
        <f>$Q$15</f>
        <v>3</v>
      </c>
      <c r="Q143" s="121"/>
      <c r="S143" s="29"/>
      <c r="T143" s="29"/>
      <c r="U143" s="491">
        <f>$Q$15</f>
        <v>3</v>
      </c>
      <c r="X143" s="29"/>
    </row>
    <row r="144" spans="1:256" ht="16.5" customHeight="1">
      <c r="A144" s="2"/>
      <c r="B144" s="521"/>
      <c r="C144" s="24"/>
      <c r="D144" s="28" t="str">
        <f>IF(D140=$Q$18,$R$16,IF(ROUNDDOWN(D140,0)=$Q$16,$S$16,$R$16))</f>
        <v>　レベル　4</v>
      </c>
      <c r="E144" s="451" t="s">
        <v>409</v>
      </c>
      <c r="F144" s="2630"/>
      <c r="G144" s="2630"/>
      <c r="H144" s="2630"/>
      <c r="I144" s="2630"/>
      <c r="J144" s="2630"/>
      <c r="K144" s="2630"/>
      <c r="L144" s="2630"/>
      <c r="M144" s="2631"/>
      <c r="N144" s="2"/>
      <c r="O144" s="121"/>
      <c r="P144" s="491" t="s">
        <v>55</v>
      </c>
      <c r="Q144" s="121"/>
      <c r="S144" s="29"/>
      <c r="T144" s="29"/>
      <c r="U144" s="491">
        <f>$Q$16</f>
        <v>4</v>
      </c>
      <c r="X144" s="29"/>
    </row>
    <row r="145" spans="1:25" ht="24" customHeight="1">
      <c r="A145" s="2"/>
      <c r="B145" s="521"/>
      <c r="C145" s="24"/>
      <c r="D145" s="26" t="str">
        <f>IF(D140=$Q$18,$R$17,IF(ROUNDDOWN(D140,0)=$Q$17,$S$17,$R$17))</f>
        <v>　レベル　5</v>
      </c>
      <c r="E145" s="2998" t="s">
        <v>26</v>
      </c>
      <c r="F145" s="2999"/>
      <c r="G145" s="2999"/>
      <c r="H145" s="2999"/>
      <c r="I145" s="2999"/>
      <c r="J145" s="2999"/>
      <c r="K145" s="2999"/>
      <c r="L145" s="2999"/>
      <c r="M145" s="3000"/>
      <c r="N145" s="2"/>
      <c r="O145" s="121"/>
      <c r="P145" s="491">
        <f>$Q$17</f>
        <v>5</v>
      </c>
      <c r="Q145" s="121"/>
      <c r="S145" s="29"/>
      <c r="T145" s="29"/>
      <c r="U145" s="491">
        <f>$Q$17</f>
        <v>5</v>
      </c>
      <c r="X145" s="29"/>
    </row>
    <row r="146" spans="1:25" s="29" customFormat="1" ht="8.25" customHeight="1">
      <c r="A146" s="19"/>
      <c r="B146" s="137"/>
      <c r="C146" s="504"/>
      <c r="D146" s="270"/>
      <c r="E146" s="270"/>
      <c r="F146" s="2"/>
      <c r="G146" s="2"/>
      <c r="H146" s="2"/>
      <c r="I146" s="2"/>
      <c r="J146" s="2"/>
      <c r="K146" s="2"/>
      <c r="L146" s="2"/>
      <c r="M146" s="2"/>
      <c r="N146" s="22"/>
      <c r="P146" s="491" t="str">
        <f>Q146</f>
        <v>対象外</v>
      </c>
      <c r="Q146" s="284" t="s">
        <v>87</v>
      </c>
      <c r="R146" s="4"/>
      <c r="S146" s="4"/>
      <c r="T146" s="113"/>
    </row>
    <row r="147" spans="1:25" s="29" customFormat="1" ht="21" customHeight="1">
      <c r="A147" s="19"/>
      <c r="B147" s="137"/>
      <c r="C147" s="504"/>
      <c r="E147" s="646" t="s">
        <v>3</v>
      </c>
      <c r="F147" s="647"/>
      <c r="G147" s="2441"/>
      <c r="H147" s="2442"/>
      <c r="I147" s="990"/>
      <c r="J147" s="990"/>
      <c r="K147" s="990"/>
      <c r="L147" s="990"/>
      <c r="M147" s="991"/>
      <c r="N147" s="22"/>
      <c r="P147" s="511"/>
      <c r="Q147" s="284"/>
      <c r="R147" s="4"/>
      <c r="S147" s="4"/>
      <c r="T147" s="113"/>
      <c r="U147" s="511"/>
      <c r="V147" s="113"/>
      <c r="W147" s="113"/>
      <c r="X147" s="113"/>
      <c r="Y147" s="113"/>
    </row>
    <row r="148" spans="1:25">
      <c r="A148" s="2"/>
      <c r="B148" s="521"/>
      <c r="C148" s="24"/>
      <c r="D148" s="24"/>
      <c r="E148" s="24"/>
      <c r="F148" s="24"/>
      <c r="G148" s="24"/>
      <c r="H148" s="24"/>
      <c r="I148" s="24"/>
      <c r="J148" s="24"/>
      <c r="K148" s="24"/>
      <c r="L148" s="24"/>
      <c r="M148" s="24"/>
      <c r="N148" s="24"/>
      <c r="O148" s="121"/>
      <c r="P148" s="511"/>
      <c r="Q148" s="121"/>
      <c r="S148" s="29"/>
      <c r="T148" s="29"/>
      <c r="U148" s="511"/>
      <c r="X148" s="29"/>
    </row>
    <row r="149" spans="1:25" ht="15.6">
      <c r="A149" s="2"/>
      <c r="B149" s="513">
        <v>2.2000000000000002</v>
      </c>
      <c r="C149" s="23" t="s">
        <v>572</v>
      </c>
      <c r="D149" s="24"/>
      <c r="E149" s="24"/>
      <c r="F149" s="24"/>
      <c r="G149" s="24"/>
      <c r="H149" s="24"/>
      <c r="I149" s="24"/>
      <c r="J149" s="24"/>
      <c r="K149" s="24"/>
      <c r="L149" s="24"/>
      <c r="M149" s="24"/>
      <c r="N149" s="24"/>
      <c r="O149" s="121"/>
      <c r="P149" s="511"/>
      <c r="Q149" s="121"/>
      <c r="S149" s="29"/>
      <c r="T149" s="29"/>
      <c r="U149" s="511"/>
      <c r="X149" s="29"/>
    </row>
    <row r="150" spans="1:25" s="15" customFormat="1" ht="16.5" customHeight="1" thickBot="1">
      <c r="A150" s="13"/>
      <c r="D150" s="23"/>
      <c r="F150" s="13"/>
      <c r="G150" s="13"/>
      <c r="H150" s="13"/>
      <c r="I150" s="13"/>
      <c r="J150" s="13"/>
      <c r="K150" s="13"/>
      <c r="L150" s="148" t="s">
        <v>2</v>
      </c>
      <c r="M150" s="145">
        <f>重み!M91</f>
        <v>0.33333333333333331</v>
      </c>
      <c r="N150" s="13"/>
      <c r="O150" s="29" t="str">
        <f>C149</f>
        <v>生産段階（構造躯体用以外の部材）</v>
      </c>
      <c r="P150" s="29">
        <f t="shared" ref="P150:X150" si="2">D150</f>
        <v>0</v>
      </c>
      <c r="Q150" s="29">
        <f t="shared" si="2"/>
        <v>0</v>
      </c>
      <c r="R150" s="29">
        <f t="shared" si="2"/>
        <v>0</v>
      </c>
      <c r="S150" s="29">
        <f t="shared" si="2"/>
        <v>0</v>
      </c>
      <c r="T150" s="29">
        <f t="shared" si="2"/>
        <v>0</v>
      </c>
      <c r="U150" s="29">
        <f t="shared" si="2"/>
        <v>0</v>
      </c>
      <c r="V150" s="29">
        <f t="shared" si="2"/>
        <v>0</v>
      </c>
      <c r="W150" s="29">
        <f t="shared" si="2"/>
        <v>0</v>
      </c>
      <c r="X150" s="29" t="str">
        <f t="shared" si="2"/>
        <v>重み係数＝</v>
      </c>
    </row>
    <row r="151" spans="1:25" ht="16.5" customHeight="1" thickBot="1">
      <c r="A151" s="2"/>
      <c r="B151" s="475"/>
      <c r="C151" s="2"/>
      <c r="D151" s="864">
        <v>2</v>
      </c>
      <c r="E151" s="2934" t="s">
        <v>415</v>
      </c>
      <c r="F151" s="2935"/>
      <c r="G151" s="2935"/>
      <c r="H151" s="2935"/>
      <c r="I151" s="2935"/>
      <c r="J151" s="2935"/>
      <c r="K151" s="2935"/>
      <c r="L151" s="2935"/>
      <c r="M151" s="2936"/>
      <c r="N151" s="2"/>
      <c r="O151" s="121"/>
      <c r="P151" s="29"/>
      <c r="Q151" s="121"/>
      <c r="R151" s="29"/>
      <c r="S151" s="29"/>
      <c r="T151" s="29"/>
      <c r="U151" s="29"/>
      <c r="V151" s="29"/>
      <c r="W151" s="29"/>
      <c r="X151" s="29"/>
    </row>
    <row r="152" spans="1:25" ht="16.5" customHeight="1">
      <c r="A152" s="2"/>
      <c r="B152" s="475"/>
      <c r="C152" s="2"/>
      <c r="D152" s="25" t="str">
        <f>IF(D151=$Q$18,$R$13,IF(ROUNDDOWN(D151,0)=$Q$13,$S$13,$R$13))</f>
        <v>　レベル　1</v>
      </c>
      <c r="E152" s="438" t="s">
        <v>409</v>
      </c>
      <c r="F152" s="487"/>
      <c r="G152" s="487"/>
      <c r="H152" s="487"/>
      <c r="I152" s="487"/>
      <c r="J152" s="487"/>
      <c r="K152" s="487"/>
      <c r="L152" s="487"/>
      <c r="M152" s="488"/>
      <c r="N152" s="2"/>
      <c r="O152" s="121"/>
      <c r="P152" s="491" t="s">
        <v>55</v>
      </c>
      <c r="Q152" s="121"/>
      <c r="S152" s="29"/>
      <c r="T152" s="29"/>
      <c r="U152" s="491">
        <f>$Q$13</f>
        <v>1</v>
      </c>
      <c r="X152" s="29"/>
    </row>
    <row r="153" spans="1:25" ht="16.5" customHeight="1">
      <c r="A153" s="2"/>
      <c r="B153" s="475"/>
      <c r="C153" s="2"/>
      <c r="D153" s="28" t="str">
        <f>IF(D151=$Q$18,$R$14,IF(ROUNDDOWN(D151,0)=$Q$14,$S$14,$R$14))</f>
        <v>■レベル　2</v>
      </c>
      <c r="E153" s="439" t="s">
        <v>37</v>
      </c>
      <c r="F153" s="489"/>
      <c r="G153" s="489"/>
      <c r="H153" s="489"/>
      <c r="I153" s="489"/>
      <c r="J153" s="489"/>
      <c r="K153" s="489"/>
      <c r="L153" s="489"/>
      <c r="M153" s="490"/>
      <c r="N153" s="2"/>
      <c r="O153" s="121"/>
      <c r="P153" s="491">
        <v>2</v>
      </c>
      <c r="Q153" s="121"/>
      <c r="S153" s="29"/>
      <c r="T153" s="29"/>
      <c r="U153" s="491">
        <f>$Q$14</f>
        <v>2</v>
      </c>
      <c r="X153" s="29"/>
    </row>
    <row r="154" spans="1:25" ht="36.75" customHeight="1">
      <c r="A154" s="2"/>
      <c r="B154" s="475"/>
      <c r="C154" s="2"/>
      <c r="D154" s="28" t="str">
        <f>IF(D151=$Q$18,$R$15,IF(ROUNDDOWN(D151,0)=$Q$15,$S$15,$R$15))</f>
        <v>　レベル　3</v>
      </c>
      <c r="E154" s="2967" t="s">
        <v>1680</v>
      </c>
      <c r="F154" s="2968"/>
      <c r="G154" s="2968"/>
      <c r="H154" s="2968"/>
      <c r="I154" s="2968"/>
      <c r="J154" s="2968"/>
      <c r="K154" s="2968"/>
      <c r="L154" s="2968"/>
      <c r="M154" s="2969"/>
      <c r="N154" s="2"/>
      <c r="O154" s="121"/>
      <c r="P154" s="491">
        <f>$Q$15</f>
        <v>3</v>
      </c>
      <c r="Q154" s="121"/>
      <c r="S154" s="29"/>
      <c r="T154" s="29"/>
      <c r="U154" s="491">
        <f>$Q$15</f>
        <v>3</v>
      </c>
      <c r="X154" s="29"/>
    </row>
    <row r="155" spans="1:25" ht="36.75" customHeight="1">
      <c r="A155" s="2"/>
      <c r="B155" s="475"/>
      <c r="C155" s="2"/>
      <c r="D155" s="28" t="str">
        <f>IF(D151=$Q$18,$R$16,IF(ROUNDDOWN(D151,0)=$Q$16,$S$16,$R$16))</f>
        <v>　レベル　4</v>
      </c>
      <c r="E155" s="2995" t="s">
        <v>2158</v>
      </c>
      <c r="F155" s="2996"/>
      <c r="G155" s="2996"/>
      <c r="H155" s="2996"/>
      <c r="I155" s="2996"/>
      <c r="J155" s="2996"/>
      <c r="K155" s="2996"/>
      <c r="L155" s="2996"/>
      <c r="M155" s="2997"/>
      <c r="N155" s="2"/>
      <c r="O155" s="121"/>
      <c r="P155" s="491">
        <f>$Q$16</f>
        <v>4</v>
      </c>
      <c r="Q155" s="121"/>
      <c r="S155" s="29"/>
      <c r="T155" s="29"/>
      <c r="U155" s="491">
        <f>$Q$16</f>
        <v>4</v>
      </c>
      <c r="X155" s="29"/>
    </row>
    <row r="156" spans="1:25" ht="36.75" customHeight="1">
      <c r="A156" s="2"/>
      <c r="B156" s="475"/>
      <c r="C156" s="2"/>
      <c r="D156" s="26" t="str">
        <f>IF(D151=$Q$18,$R$17,IF(ROUNDDOWN(D151,0)=$Q$17,$S$17,$R$17))</f>
        <v>　レベル　5</v>
      </c>
      <c r="E156" s="2998" t="s">
        <v>2159</v>
      </c>
      <c r="F156" s="2999"/>
      <c r="G156" s="2999"/>
      <c r="H156" s="2999"/>
      <c r="I156" s="2999"/>
      <c r="J156" s="2999"/>
      <c r="K156" s="2999"/>
      <c r="L156" s="2999"/>
      <c r="M156" s="3000"/>
      <c r="N156" s="2"/>
      <c r="O156" s="121"/>
      <c r="P156" s="491">
        <f>$Q$17</f>
        <v>5</v>
      </c>
      <c r="Q156" s="121"/>
      <c r="S156" s="29"/>
      <c r="T156" s="29"/>
      <c r="U156" s="491">
        <f>$Q$17</f>
        <v>5</v>
      </c>
      <c r="X156" s="29"/>
    </row>
    <row r="157" spans="1:25" s="29" customFormat="1" ht="8.25" customHeight="1">
      <c r="A157" s="19"/>
      <c r="B157" s="137"/>
      <c r="C157" s="504"/>
      <c r="D157" s="270"/>
      <c r="E157" s="270"/>
      <c r="F157" s="2"/>
      <c r="G157" s="2"/>
      <c r="H157" s="2"/>
      <c r="I157" s="2"/>
      <c r="J157" s="2"/>
      <c r="K157" s="2"/>
      <c r="L157" s="2"/>
      <c r="M157" s="2"/>
      <c r="N157" s="22"/>
      <c r="P157" s="491" t="s">
        <v>68</v>
      </c>
      <c r="Q157" s="284" t="s">
        <v>87</v>
      </c>
      <c r="R157" s="4"/>
      <c r="S157" s="4"/>
      <c r="T157" s="113"/>
    </row>
    <row r="158" spans="1:25" s="29" customFormat="1" ht="21" customHeight="1">
      <c r="A158" s="19"/>
      <c r="B158" s="137"/>
      <c r="C158" s="504"/>
      <c r="E158" s="646" t="s">
        <v>3</v>
      </c>
      <c r="F158" s="647"/>
      <c r="G158" s="2441"/>
      <c r="H158" s="2442"/>
      <c r="I158" s="990"/>
      <c r="J158" s="990"/>
      <c r="K158" s="990"/>
      <c r="L158" s="990"/>
      <c r="M158" s="991"/>
      <c r="N158" s="22"/>
      <c r="P158" s="511"/>
      <c r="Q158" s="284"/>
      <c r="R158" s="4"/>
      <c r="S158" s="4"/>
      <c r="T158" s="113"/>
      <c r="U158" s="511"/>
      <c r="V158" s="113"/>
      <c r="W158" s="113"/>
      <c r="X158" s="113"/>
      <c r="Y158" s="113"/>
    </row>
    <row r="159" spans="1:25" ht="14.25" customHeight="1">
      <c r="A159" s="2"/>
      <c r="B159" s="475"/>
      <c r="C159" s="27"/>
      <c r="D159" s="30"/>
      <c r="E159" s="30"/>
      <c r="F159" s="30"/>
      <c r="G159" s="30"/>
      <c r="H159" s="30"/>
      <c r="I159" s="30"/>
      <c r="J159" s="128"/>
      <c r="K159" s="128"/>
      <c r="L159" s="128"/>
      <c r="M159" s="128"/>
      <c r="N159" s="2"/>
      <c r="O159" s="121"/>
      <c r="P159" s="511"/>
      <c r="Q159" s="121"/>
      <c r="S159" s="29"/>
      <c r="T159" s="29"/>
      <c r="U159" s="511"/>
      <c r="X159" s="29"/>
    </row>
    <row r="160" spans="1:25" ht="14.25" customHeight="1">
      <c r="A160" s="2"/>
      <c r="B160" s="513">
        <v>2.2999999999999998</v>
      </c>
      <c r="C160" s="23" t="s">
        <v>545</v>
      </c>
      <c r="D160" s="30"/>
      <c r="E160" s="30"/>
      <c r="F160" s="30"/>
      <c r="G160" s="30"/>
      <c r="H160" s="30"/>
      <c r="I160" s="30"/>
      <c r="J160" s="128"/>
      <c r="K160" s="128"/>
      <c r="L160" s="128"/>
      <c r="M160" s="128"/>
      <c r="N160" s="2"/>
      <c r="O160" s="121"/>
      <c r="P160" s="511"/>
      <c r="Q160" s="121"/>
      <c r="S160" s="29"/>
      <c r="T160" s="29"/>
      <c r="U160" s="511"/>
      <c r="X160" s="29"/>
    </row>
    <row r="161" spans="1:25" s="15" customFormat="1" ht="17.25" customHeight="1" thickBot="1">
      <c r="A161" s="13"/>
      <c r="D161" s="23"/>
      <c r="E161" s="13"/>
      <c r="F161" s="13"/>
      <c r="G161" s="13"/>
      <c r="H161" s="13"/>
      <c r="I161" s="22"/>
      <c r="L161" s="148" t="s">
        <v>2</v>
      </c>
      <c r="M161" s="145">
        <f>重み!M92</f>
        <v>0.33333333333333331</v>
      </c>
      <c r="N161" s="13"/>
      <c r="O161" s="29" t="str">
        <f>C160</f>
        <v>施工段階</v>
      </c>
      <c r="P161" s="29">
        <f t="shared" ref="P161:X161" si="3">D161</f>
        <v>0</v>
      </c>
      <c r="Q161" s="29">
        <f t="shared" si="3"/>
        <v>0</v>
      </c>
      <c r="R161" s="29">
        <f t="shared" si="3"/>
        <v>0</v>
      </c>
      <c r="S161" s="29">
        <f t="shared" si="3"/>
        <v>0</v>
      </c>
      <c r="T161" s="29">
        <f t="shared" si="3"/>
        <v>0</v>
      </c>
      <c r="U161" s="29">
        <f t="shared" si="3"/>
        <v>0</v>
      </c>
      <c r="V161" s="29">
        <f t="shared" si="3"/>
        <v>0</v>
      </c>
      <c r="W161" s="29">
        <f t="shared" si="3"/>
        <v>0</v>
      </c>
      <c r="X161" s="29" t="str">
        <f t="shared" si="3"/>
        <v>重み係数＝</v>
      </c>
    </row>
    <row r="162" spans="1:25" ht="17.25" customHeight="1" thickBot="1">
      <c r="A162" s="2"/>
      <c r="B162" s="475"/>
      <c r="C162" s="2"/>
      <c r="D162" s="864">
        <v>2</v>
      </c>
      <c r="E162" s="2934" t="s">
        <v>415</v>
      </c>
      <c r="F162" s="2935"/>
      <c r="G162" s="2935"/>
      <c r="H162" s="2935"/>
      <c r="I162" s="2935"/>
      <c r="J162" s="2935"/>
      <c r="K162" s="2935"/>
      <c r="L162" s="2935"/>
      <c r="M162" s="2936"/>
      <c r="N162" s="2"/>
      <c r="O162" s="121"/>
      <c r="P162" s="29"/>
      <c r="Q162" s="121"/>
      <c r="R162" s="29"/>
      <c r="S162" s="29"/>
      <c r="T162" s="29"/>
      <c r="U162" s="29"/>
      <c r="V162" s="29"/>
      <c r="W162" s="29"/>
      <c r="X162" s="29"/>
    </row>
    <row r="163" spans="1:25" ht="17.25" customHeight="1">
      <c r="A163" s="2"/>
      <c r="B163" s="475"/>
      <c r="C163" s="2"/>
      <c r="D163" s="25" t="str">
        <f>IF(D162=$Q$18,$R$13,IF(ROUNDDOWN(D162,0)=$Q$13,$S$13,$R$13))</f>
        <v>　レベル　1</v>
      </c>
      <c r="E163" s="438" t="s">
        <v>409</v>
      </c>
      <c r="F163" s="487"/>
      <c r="G163" s="487"/>
      <c r="H163" s="487"/>
      <c r="I163" s="487"/>
      <c r="J163" s="487"/>
      <c r="K163" s="487"/>
      <c r="L163" s="487"/>
      <c r="M163" s="488"/>
      <c r="N163" s="2"/>
      <c r="O163" s="121"/>
      <c r="P163" s="491" t="s">
        <v>55</v>
      </c>
      <c r="Q163" s="121"/>
      <c r="S163" s="29"/>
      <c r="T163" s="29"/>
      <c r="U163" s="491">
        <f>$Q$13</f>
        <v>1</v>
      </c>
      <c r="X163" s="29"/>
    </row>
    <row r="164" spans="1:25" ht="17.25" customHeight="1">
      <c r="A164" s="2"/>
      <c r="B164" s="475"/>
      <c r="C164" s="2"/>
      <c r="D164" s="28" t="str">
        <f>IF(D162=$Q$18,$R$14,IF(ROUNDDOWN(D162,0)=$Q$14,$S$14,$R$14))</f>
        <v>■レベル　2</v>
      </c>
      <c r="E164" s="439" t="s">
        <v>1681</v>
      </c>
      <c r="F164" s="489"/>
      <c r="G164" s="489"/>
      <c r="H164" s="489"/>
      <c r="I164" s="489"/>
      <c r="J164" s="489"/>
      <c r="K164" s="489"/>
      <c r="L164" s="489"/>
      <c r="M164" s="490"/>
      <c r="N164" s="2"/>
      <c r="O164" s="121"/>
      <c r="P164" s="491">
        <v>2</v>
      </c>
      <c r="Q164" s="121"/>
      <c r="S164" s="29"/>
      <c r="T164" s="29"/>
      <c r="U164" s="491">
        <f>$Q$14</f>
        <v>2</v>
      </c>
      <c r="X164" s="29"/>
    </row>
    <row r="165" spans="1:25" ht="24" customHeight="1">
      <c r="A165" s="2"/>
      <c r="B165" s="475"/>
      <c r="C165" s="2"/>
      <c r="D165" s="28" t="str">
        <f>IF(D162=$Q$18,$R$15,IF(ROUNDDOWN(D162,0)=$Q$15,$S$15,$R$15))</f>
        <v>　レベル　3</v>
      </c>
      <c r="E165" s="2967" t="s">
        <v>2160</v>
      </c>
      <c r="F165" s="2968"/>
      <c r="G165" s="2968"/>
      <c r="H165" s="2968"/>
      <c r="I165" s="2968"/>
      <c r="J165" s="2968"/>
      <c r="K165" s="2968"/>
      <c r="L165" s="2968"/>
      <c r="M165" s="2969"/>
      <c r="N165" s="2"/>
      <c r="O165" s="121"/>
      <c r="P165" s="491">
        <f>$Q$15</f>
        <v>3</v>
      </c>
      <c r="Q165" s="121"/>
      <c r="S165" s="29"/>
      <c r="T165" s="29"/>
      <c r="U165" s="491">
        <f>$Q$15</f>
        <v>3</v>
      </c>
      <c r="X165" s="29"/>
    </row>
    <row r="166" spans="1:25" ht="24" customHeight="1">
      <c r="A166" s="2"/>
      <c r="B166" s="475"/>
      <c r="C166" s="2"/>
      <c r="D166" s="28" t="str">
        <f>IF(D162=$Q$18,$R$16,IF(ROUNDDOWN(D162,0)=$Q$16,$S$16,$R$16))</f>
        <v>　レベル　4</v>
      </c>
      <c r="E166" s="2967" t="s">
        <v>2161</v>
      </c>
      <c r="F166" s="2980"/>
      <c r="G166" s="2980"/>
      <c r="H166" s="2980"/>
      <c r="I166" s="2980"/>
      <c r="J166" s="2980"/>
      <c r="K166" s="2980"/>
      <c r="L166" s="2980"/>
      <c r="M166" s="2981"/>
      <c r="N166" s="2"/>
      <c r="O166" s="121"/>
      <c r="P166" s="491">
        <v>4</v>
      </c>
      <c r="Q166" s="121"/>
      <c r="S166" s="29"/>
      <c r="T166" s="29"/>
      <c r="U166" s="491">
        <f>$Q$16</f>
        <v>4</v>
      </c>
      <c r="X166" s="29"/>
    </row>
    <row r="167" spans="1:25" ht="24" customHeight="1">
      <c r="A167" s="2"/>
      <c r="B167" s="475"/>
      <c r="C167" s="2"/>
      <c r="D167" s="26" t="str">
        <f>IF(D162=$Q$18,$R$17,IF(ROUNDDOWN(D162,0)=$Q$17,$S$17,$R$17))</f>
        <v>　レベル　5</v>
      </c>
      <c r="E167" s="2963" t="s">
        <v>2162</v>
      </c>
      <c r="F167" s="2964"/>
      <c r="G167" s="2964"/>
      <c r="H167" s="2964"/>
      <c r="I167" s="2964"/>
      <c r="J167" s="2964"/>
      <c r="K167" s="2964"/>
      <c r="L167" s="2964"/>
      <c r="M167" s="2965"/>
      <c r="N167" s="2"/>
      <c r="O167" s="121"/>
      <c r="P167" s="491">
        <f>$Q$17</f>
        <v>5</v>
      </c>
      <c r="Q167" s="121"/>
      <c r="S167" s="29"/>
      <c r="T167" s="29"/>
      <c r="U167" s="491">
        <f>$Q$17</f>
        <v>5</v>
      </c>
      <c r="X167" s="29"/>
    </row>
    <row r="168" spans="1:25" s="29" customFormat="1" ht="8.25" customHeight="1">
      <c r="A168" s="19"/>
      <c r="B168" s="137"/>
      <c r="C168" s="504"/>
      <c r="D168" s="270"/>
      <c r="E168" s="270"/>
      <c r="F168" s="2"/>
      <c r="G168" s="2"/>
      <c r="H168" s="2"/>
      <c r="I168" s="2"/>
      <c r="J168" s="2"/>
      <c r="K168" s="2"/>
      <c r="L168" s="2"/>
      <c r="M168" s="2"/>
      <c r="N168" s="22"/>
      <c r="P168" s="491" t="s">
        <v>68</v>
      </c>
      <c r="Q168" s="284" t="s">
        <v>87</v>
      </c>
      <c r="R168" s="4"/>
      <c r="S168" s="4"/>
      <c r="T168" s="113"/>
    </row>
    <row r="169" spans="1:25" s="29" customFormat="1" ht="21" customHeight="1">
      <c r="A169" s="19"/>
      <c r="B169" s="137"/>
      <c r="C169" s="504"/>
      <c r="E169" s="646" t="s">
        <v>3</v>
      </c>
      <c r="F169" s="647"/>
      <c r="G169" s="2441"/>
      <c r="H169" s="2442"/>
      <c r="I169" s="990"/>
      <c r="J169" s="990"/>
      <c r="K169" s="990"/>
      <c r="L169" s="990"/>
      <c r="M169" s="991"/>
      <c r="N169" s="22"/>
      <c r="P169" s="511"/>
      <c r="Q169" s="284"/>
      <c r="R169" s="4"/>
      <c r="S169" s="4"/>
      <c r="T169" s="113"/>
      <c r="U169" s="511"/>
      <c r="V169" s="113"/>
      <c r="W169" s="113"/>
      <c r="X169" s="113"/>
      <c r="Y169" s="113"/>
    </row>
    <row r="170" spans="1:25" ht="19.5" customHeight="1">
      <c r="A170" s="2"/>
      <c r="B170" s="475"/>
      <c r="C170" s="137"/>
      <c r="D170" s="137"/>
      <c r="E170" s="137"/>
      <c r="F170" s="137"/>
      <c r="G170" s="137"/>
      <c r="H170" s="137"/>
      <c r="I170" s="137"/>
      <c r="J170" s="137"/>
      <c r="K170" s="137"/>
      <c r="L170" s="137"/>
      <c r="M170" s="137"/>
      <c r="N170" s="137"/>
      <c r="O170" s="121"/>
      <c r="P170" s="511"/>
      <c r="Q170" s="121"/>
      <c r="S170" s="29"/>
      <c r="T170" s="29"/>
      <c r="U170" s="511"/>
      <c r="X170" s="29"/>
    </row>
    <row r="171" spans="1:25" ht="16.5" customHeight="1">
      <c r="A171" s="2"/>
      <c r="B171" s="268">
        <v>3</v>
      </c>
      <c r="C171" s="23" t="s">
        <v>563</v>
      </c>
      <c r="D171" s="272"/>
      <c r="E171" s="272"/>
      <c r="F171" s="272"/>
      <c r="G171" s="272"/>
      <c r="H171" s="272"/>
      <c r="I171" s="272"/>
      <c r="J171" s="132"/>
      <c r="K171" s="132"/>
      <c r="L171" s="132"/>
      <c r="M171" s="132"/>
      <c r="N171" s="2"/>
    </row>
    <row r="172" spans="1:25" ht="16.5" customHeight="1">
      <c r="A172" s="2"/>
      <c r="B172" s="513">
        <v>3.1</v>
      </c>
      <c r="C172" s="23" t="s">
        <v>546</v>
      </c>
      <c r="D172" s="272"/>
      <c r="E172" s="272"/>
      <c r="F172" s="272"/>
      <c r="G172" s="272"/>
      <c r="H172" s="272"/>
      <c r="I172" s="272"/>
      <c r="J172" s="132"/>
      <c r="K172" s="132"/>
      <c r="L172" s="132"/>
      <c r="M172" s="132"/>
      <c r="N172" s="2"/>
    </row>
    <row r="173" spans="1:25" s="15" customFormat="1" ht="16.5" customHeight="1" thickBot="1">
      <c r="A173" s="13"/>
      <c r="D173" s="23"/>
      <c r="E173" s="23"/>
      <c r="F173" s="22"/>
      <c r="G173" s="22"/>
      <c r="H173" s="22"/>
      <c r="I173" s="22"/>
      <c r="J173" s="22"/>
      <c r="K173" s="22"/>
      <c r="L173" s="148" t="s">
        <v>2</v>
      </c>
      <c r="M173" s="145">
        <f>重み!M94</f>
        <v>1</v>
      </c>
      <c r="N173" s="13"/>
      <c r="O173" s="29" t="str">
        <f>C172</f>
        <v>使用材料の情報提供</v>
      </c>
      <c r="P173" s="29">
        <f t="shared" ref="P173:X173" si="4">D173</f>
        <v>0</v>
      </c>
      <c r="Q173" s="29">
        <f t="shared" si="4"/>
        <v>0</v>
      </c>
      <c r="R173" s="29">
        <f t="shared" si="4"/>
        <v>0</v>
      </c>
      <c r="S173" s="29">
        <f t="shared" si="4"/>
        <v>0</v>
      </c>
      <c r="T173" s="29">
        <f t="shared" si="4"/>
        <v>0</v>
      </c>
      <c r="U173" s="29">
        <f t="shared" si="4"/>
        <v>0</v>
      </c>
      <c r="V173" s="29">
        <f t="shared" si="4"/>
        <v>0</v>
      </c>
      <c r="W173" s="29">
        <f t="shared" si="4"/>
        <v>0</v>
      </c>
      <c r="X173" s="29" t="str">
        <f t="shared" si="4"/>
        <v>重み係数＝</v>
      </c>
    </row>
    <row r="174" spans="1:25" ht="16.5" customHeight="1" thickBot="1">
      <c r="A174" s="2"/>
      <c r="B174" s="475"/>
      <c r="C174" s="2"/>
      <c r="D174" s="864">
        <v>5</v>
      </c>
      <c r="E174" s="2934" t="s">
        <v>415</v>
      </c>
      <c r="F174" s="2935"/>
      <c r="G174" s="2935"/>
      <c r="H174" s="2935"/>
      <c r="I174" s="2935"/>
      <c r="J174" s="2935"/>
      <c r="K174" s="2935"/>
      <c r="L174" s="2935"/>
      <c r="M174" s="2936"/>
      <c r="N174" s="2"/>
      <c r="O174" s="121"/>
      <c r="P174" s="29"/>
      <c r="Q174" s="121"/>
      <c r="R174" s="29"/>
      <c r="S174" s="29"/>
      <c r="T174" s="29"/>
      <c r="U174" s="29"/>
      <c r="V174" s="29"/>
      <c r="W174" s="29"/>
      <c r="X174" s="29"/>
    </row>
    <row r="175" spans="1:25" ht="16.5" customHeight="1">
      <c r="A175" s="2"/>
      <c r="B175" s="475"/>
      <c r="C175" s="2"/>
      <c r="D175" s="25" t="str">
        <f>IF(D174=$Q$18,$R$13,IF(ROUNDDOWN(D174,0)=$Q$13,$S$13,$R$13))</f>
        <v>　レベル　1</v>
      </c>
      <c r="E175" s="438" t="s">
        <v>409</v>
      </c>
      <c r="F175" s="487"/>
      <c r="G175" s="487"/>
      <c r="H175" s="487"/>
      <c r="I175" s="487"/>
      <c r="J175" s="487"/>
      <c r="K175" s="487"/>
      <c r="L175" s="487"/>
      <c r="M175" s="488"/>
      <c r="N175" s="2"/>
      <c r="O175" s="121"/>
      <c r="P175" s="491" t="s">
        <v>55</v>
      </c>
      <c r="Q175" s="121"/>
      <c r="S175" s="29"/>
      <c r="T175" s="29"/>
      <c r="U175" s="491">
        <f>$Q$13</f>
        <v>1</v>
      </c>
      <c r="X175" s="29"/>
    </row>
    <row r="176" spans="1:25" ht="16.5" customHeight="1">
      <c r="A176" s="2"/>
      <c r="B176" s="475"/>
      <c r="C176" s="2"/>
      <c r="D176" s="28" t="str">
        <f>IF(D174=$Q$18,$R$14,IF(ROUNDDOWN(D174,0)=$Q$14,$S$14,$R$14))</f>
        <v>　レベル　2</v>
      </c>
      <c r="E176" s="439" t="s">
        <v>409</v>
      </c>
      <c r="F176" s="489"/>
      <c r="G176" s="489"/>
      <c r="H176" s="489"/>
      <c r="I176" s="489"/>
      <c r="J176" s="489"/>
      <c r="K176" s="489"/>
      <c r="L176" s="489"/>
      <c r="M176" s="490"/>
      <c r="N176" s="2"/>
      <c r="O176" s="121"/>
      <c r="P176" s="491" t="s">
        <v>55</v>
      </c>
      <c r="Q176" s="121"/>
      <c r="S176" s="29"/>
      <c r="T176" s="29"/>
      <c r="U176" s="491">
        <f>$Q$14</f>
        <v>2</v>
      </c>
      <c r="X176" s="29"/>
    </row>
    <row r="177" spans="1:25" ht="16.5" customHeight="1">
      <c r="A177" s="2"/>
      <c r="B177" s="475"/>
      <c r="C177" s="2"/>
      <c r="D177" s="28" t="str">
        <f>IF(D174=$Q$18,$R$15,IF(ROUNDDOWN(D174,0)=$Q$15,$S$15,$R$15))</f>
        <v>　レベル　3</v>
      </c>
      <c r="E177" s="439" t="s">
        <v>27</v>
      </c>
      <c r="F177" s="489"/>
      <c r="G177" s="489"/>
      <c r="H177" s="489"/>
      <c r="I177" s="489"/>
      <c r="J177" s="489"/>
      <c r="K177" s="489"/>
      <c r="L177" s="489"/>
      <c r="M177" s="490"/>
      <c r="N177" s="2"/>
      <c r="O177" s="121"/>
      <c r="P177" s="491">
        <f>$Q$15</f>
        <v>3</v>
      </c>
      <c r="Q177" s="121"/>
      <c r="S177" s="29"/>
      <c r="T177" s="29"/>
      <c r="U177" s="491">
        <f>$Q$15</f>
        <v>3</v>
      </c>
      <c r="X177" s="29"/>
    </row>
    <row r="178" spans="1:25" ht="16.5" customHeight="1">
      <c r="A178" s="2"/>
      <c r="B178" s="475"/>
      <c r="C178" s="2"/>
      <c r="D178" s="28" t="str">
        <f>IF(D174=$Q$18,$R$16,IF(ROUNDDOWN(D174,0)=$Q$16,$S$16,$R$16))</f>
        <v>　レベル　4</v>
      </c>
      <c r="E178" s="451" t="s">
        <v>409</v>
      </c>
      <c r="F178" s="2630"/>
      <c r="G178" s="2630"/>
      <c r="H178" s="2630"/>
      <c r="I178" s="2630"/>
      <c r="J178" s="2630"/>
      <c r="K178" s="2630"/>
      <c r="L178" s="2630"/>
      <c r="M178" s="2631"/>
      <c r="N178" s="2"/>
      <c r="O178" s="121"/>
      <c r="P178" s="491" t="s">
        <v>55</v>
      </c>
      <c r="Q178" s="121"/>
      <c r="S178" s="29"/>
      <c r="T178" s="29"/>
      <c r="U178" s="491">
        <f>$Q$16</f>
        <v>4</v>
      </c>
      <c r="X178" s="29"/>
    </row>
    <row r="179" spans="1:25" ht="16.5" customHeight="1">
      <c r="A179" s="2"/>
      <c r="B179" s="475"/>
      <c r="C179" s="2"/>
      <c r="D179" s="26" t="str">
        <f>IF(D174=$Q$18,$R$17,IF(ROUNDDOWN(D174,0)=$Q$17,$S$17,$R$17))</f>
        <v>■レベル　5</v>
      </c>
      <c r="E179" s="473" t="s">
        <v>685</v>
      </c>
      <c r="F179" s="2632"/>
      <c r="G179" s="2632"/>
      <c r="H179" s="2632"/>
      <c r="I179" s="2632"/>
      <c r="J179" s="2632"/>
      <c r="K179" s="2632"/>
      <c r="L179" s="2632"/>
      <c r="M179" s="2633"/>
      <c r="N179" s="2"/>
      <c r="O179" s="121"/>
      <c r="P179" s="491">
        <f>$Q$17</f>
        <v>5</v>
      </c>
      <c r="Q179" s="121"/>
      <c r="S179" s="29"/>
      <c r="T179" s="29"/>
      <c r="U179" s="491">
        <f>$Q$17</f>
        <v>5</v>
      </c>
      <c r="X179" s="29"/>
    </row>
    <row r="180" spans="1:25" s="29" customFormat="1" ht="8.25" customHeight="1">
      <c r="A180" s="19"/>
      <c r="B180" s="137"/>
      <c r="C180" s="504"/>
      <c r="D180" s="270"/>
      <c r="E180" s="270"/>
      <c r="F180" s="2"/>
      <c r="G180" s="2"/>
      <c r="H180" s="2"/>
      <c r="I180" s="2"/>
      <c r="J180" s="2"/>
      <c r="K180" s="2"/>
      <c r="L180" s="2"/>
      <c r="M180" s="2"/>
      <c r="N180" s="22"/>
      <c r="P180" s="491" t="s">
        <v>68</v>
      </c>
      <c r="Q180" s="284" t="s">
        <v>87</v>
      </c>
      <c r="R180" s="4"/>
      <c r="S180" s="4"/>
      <c r="T180" s="113"/>
    </row>
    <row r="181" spans="1:25" s="29" customFormat="1" ht="21" customHeight="1">
      <c r="A181" s="19"/>
      <c r="B181" s="137"/>
      <c r="C181" s="504"/>
      <c r="E181" s="646" t="s">
        <v>3</v>
      </c>
      <c r="F181" s="647"/>
      <c r="G181" s="2441"/>
      <c r="H181" s="2442"/>
      <c r="I181" s="990"/>
      <c r="J181" s="990"/>
      <c r="K181" s="990"/>
      <c r="L181" s="990"/>
      <c r="M181" s="991"/>
      <c r="N181" s="22"/>
      <c r="P181" s="511"/>
      <c r="Q181" s="284"/>
      <c r="R181" s="4"/>
      <c r="S181" s="4"/>
      <c r="T181" s="113"/>
      <c r="U181" s="511"/>
      <c r="V181" s="113"/>
      <c r="W181" s="113"/>
      <c r="X181" s="113"/>
      <c r="Y181" s="113"/>
    </row>
    <row r="182" spans="1:25"/>
    <row r="183" spans="1:25"/>
    <row r="184" spans="1:25"/>
  </sheetData>
  <sheetProtection algorithmName="SHA-512" hashValue="PYOKAF0tEGP/rBDmoLcoCTmik5dHyxaD2snoTMWQbLMM1/4YTbtgvJxLAV1YWhZvgYid220+Isll3Ot8rZsYeg==" saltValue="gT7KV905A1Xj8wt2JatHqg==" spinCount="100000" sheet="1" objects="1" scenarios="1"/>
  <mergeCells count="33">
    <mergeCell ref="E12:M12"/>
    <mergeCell ref="E28:M28"/>
    <mergeCell ref="E42:M42"/>
    <mergeCell ref="E58:M58"/>
    <mergeCell ref="G50:M50"/>
    <mergeCell ref="G19:M19"/>
    <mergeCell ref="G51:M51"/>
    <mergeCell ref="E174:M174"/>
    <mergeCell ref="G129:M129"/>
    <mergeCell ref="E155:M155"/>
    <mergeCell ref="E156:M156"/>
    <mergeCell ref="E140:M140"/>
    <mergeCell ref="E145:M145"/>
    <mergeCell ref="E151:M151"/>
    <mergeCell ref="J131:M131"/>
    <mergeCell ref="E167:M167"/>
    <mergeCell ref="E162:M162"/>
    <mergeCell ref="G133:I133"/>
    <mergeCell ref="J130:M130"/>
    <mergeCell ref="E165:M165"/>
    <mergeCell ref="J133:M133"/>
    <mergeCell ref="J132:M132"/>
    <mergeCell ref="E154:M154"/>
    <mergeCell ref="E166:M166"/>
    <mergeCell ref="E75:M75"/>
    <mergeCell ref="G84:J84"/>
    <mergeCell ref="G85:J85"/>
    <mergeCell ref="I89:J89"/>
    <mergeCell ref="K89:L89"/>
    <mergeCell ref="E122:M122"/>
    <mergeCell ref="I113:J113"/>
    <mergeCell ref="K113:L113"/>
    <mergeCell ref="E98:M98"/>
  </mergeCells>
  <phoneticPr fontId="4"/>
  <conditionalFormatting sqref="D8:D9 D11 D27">
    <cfRule type="expression" dxfId="81" priority="25" stopIfTrue="1">
      <formula>AND(OR(D8&lt;1,D8&gt;5),D8&lt;&gt;#REF!)</formula>
    </cfRule>
    <cfRule type="expression" dxfId="80" priority="26" stopIfTrue="1">
      <formula>M7&gt;0</formula>
    </cfRule>
  </conditionalFormatting>
  <conditionalFormatting sqref="D12 D140 D151 D162 D174">
    <cfRule type="expression" dxfId="79" priority="21" stopIfTrue="1">
      <formula>AND(OR(D12&lt;1,D12&gt;5),D12&lt;&gt;P18)</formula>
    </cfRule>
    <cfRule type="expression" dxfId="78" priority="22" stopIfTrue="1">
      <formula>M11&gt;0</formula>
    </cfRule>
  </conditionalFormatting>
  <conditionalFormatting sqref="D28">
    <cfRule type="expression" dxfId="77" priority="27" stopIfTrue="1">
      <formula>AND(OR(D28&lt;1,D28&gt;5),D28&lt;&gt;P37)</formula>
    </cfRule>
    <cfRule type="expression" dxfId="76" priority="28" stopIfTrue="1">
      <formula>M27&gt;0</formula>
    </cfRule>
  </conditionalFormatting>
  <conditionalFormatting sqref="D74">
    <cfRule type="expression" dxfId="75" priority="23" stopIfTrue="1">
      <formula>AND(OR(D74&lt;1,D74&gt;5),D74&lt;&gt;U66)</formula>
    </cfRule>
    <cfRule type="expression" dxfId="74" priority="24" stopIfTrue="1">
      <formula>M73&gt;0</formula>
    </cfRule>
  </conditionalFormatting>
  <conditionalFormatting sqref="D97">
    <cfRule type="expression" dxfId="73" priority="29" stopIfTrue="1">
      <formula>AND(OR(D97&lt;1,D97&gt;5),D97&lt;&gt;U90)</formula>
    </cfRule>
    <cfRule type="expression" dxfId="72" priority="30" stopIfTrue="1">
      <formula>M96&gt;0</formula>
    </cfRule>
  </conditionalFormatting>
  <conditionalFormatting sqref="E19:E21 E36 E91 E115">
    <cfRule type="expression" dxfId="71" priority="40" stopIfTrue="1">
      <formula>$M$11&gt;0</formula>
    </cfRule>
  </conditionalFormatting>
  <conditionalFormatting sqref="E35">
    <cfRule type="expression" dxfId="70" priority="69" stopIfTrue="1">
      <formula>$M$27&gt;0</formula>
    </cfRule>
  </conditionalFormatting>
  <conditionalFormatting sqref="E50:E51">
    <cfRule type="expression" dxfId="69" priority="38" stopIfTrue="1">
      <formula>$M$41&gt;0</formula>
    </cfRule>
  </conditionalFormatting>
  <conditionalFormatting sqref="E66:E68">
    <cfRule type="expression" dxfId="68" priority="39" stopIfTrue="1">
      <formula>$M$57&gt;0</formula>
    </cfRule>
  </conditionalFormatting>
  <conditionalFormatting sqref="E84:E88 E107:E112">
    <cfRule type="expression" dxfId="67" priority="37" stopIfTrue="1">
      <formula>$M$74&gt;0</formula>
    </cfRule>
  </conditionalFormatting>
  <conditionalFormatting sqref="E130:E133">
    <cfRule type="expression" dxfId="66" priority="36" stopIfTrue="1">
      <formula>$M$121&gt;0</formula>
    </cfRule>
  </conditionalFormatting>
  <conditionalFormatting sqref="G8:I8">
    <cfRule type="expression" dxfId="65" priority="41" stopIfTrue="1">
      <formula>$P$8&lt;&gt;1</formula>
    </cfRule>
  </conditionalFormatting>
  <dataValidations count="8">
    <dataValidation type="list" allowBlank="1" showInputMessage="1" sqref="D140 D174 D151 D162 D12" xr:uid="{00000000-0002-0000-0C00-000000000000}">
      <formula1>P13:P18</formula1>
    </dataValidation>
    <dataValidation type="list" allowBlank="1" showInputMessage="1" showErrorMessage="1" sqref="E107:E112" xr:uid="{00000000-0002-0000-0C00-000001000000}">
      <formula1>P107:S107</formula1>
    </dataValidation>
    <dataValidation type="list" allowBlank="1" showInputMessage="1" sqref="D28" xr:uid="{00000000-0002-0000-0C00-000002000000}">
      <formula1>$P$29:$P$34</formula1>
    </dataValidation>
    <dataValidation type="textLength" operator="lessThanOrEqual" allowBlank="1" showInputMessage="1" showErrorMessage="1" sqref="F181 F169 F71 F135 F94 F39 F54 F118 F158 F24 F147" xr:uid="{00000000-0002-0000-0C00-000003000000}">
      <formula1>30</formula1>
    </dataValidation>
    <dataValidation type="list" allowBlank="1" showInputMessage="1" showErrorMessage="1" sqref="E130:E133 E36 E21 E19 E50:E51 E66:E68" xr:uid="{00000000-0002-0000-0C00-000004000000}">
      <formula1>$U$3:$U$4</formula1>
    </dataValidation>
    <dataValidation allowBlank="1" showInputMessage="1" sqref="D97:D98 D11 D74:D75 D122 D8:D9 D27" xr:uid="{00000000-0002-0000-0C00-000005000000}"/>
    <dataValidation type="list" allowBlank="1" showInputMessage="1" showErrorMessage="1" sqref="E84:E88" xr:uid="{00000000-0002-0000-0C00-000006000000}">
      <formula1>$P$84:$S$84</formula1>
    </dataValidation>
    <dataValidation type="list" allowBlank="1" showInputMessage="1" showErrorMessage="1" sqref="E20 E115 E91 E35" xr:uid="{00000000-0002-0000-0C00-000007000000}">
      <formula1>$W$3:$W$5</formula1>
    </dataValidation>
  </dataValidations>
  <printOptions horizontalCentered="1"/>
  <pageMargins left="0.78740157480314965" right="0.78740157480314965" top="0.78740157480314965" bottom="0.78740157480314965" header="0.51181102362204722" footer="0.51181102362204722"/>
  <pageSetup paperSize="9" scale="69" fitToHeight="0" orientation="portrait" horizontalDpi="4294967293" verticalDpi="4294967293" r:id="rId1"/>
  <headerFooter alignWithMargins="0">
    <oddHeader>&amp;L&amp;F&amp;R&amp;A</oddHeader>
    <oddFooter>&amp;C&amp;P/&amp;N</oddFooter>
  </headerFooter>
  <rowBreaks count="3" manualBreakCount="3">
    <brk id="55" max="13" man="1"/>
    <brk id="95" max="13" man="1"/>
    <brk id="136" max="13"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44C3E-2A4A-46A1-B0CA-D53EA99DCE66}">
  <sheetPr>
    <tabColor rgb="FF008000"/>
    <pageSetUpPr fitToPage="1"/>
  </sheetPr>
  <dimension ref="B1:V91"/>
  <sheetViews>
    <sheetView showGridLines="0" topLeftCell="B1" zoomScale="115" zoomScaleNormal="115" workbookViewId="0">
      <selection activeCell="I6" sqref="I6"/>
    </sheetView>
  </sheetViews>
  <sheetFormatPr defaultColWidth="2.44140625" defaultRowHeight="13.2"/>
  <cols>
    <col min="1" max="1" width="2.44140625" customWidth="1"/>
    <col min="2" max="2" width="2.77734375" customWidth="1"/>
    <col min="3" max="3" width="15.109375" customWidth="1"/>
    <col min="4" max="4" width="11.88671875" customWidth="1"/>
    <col min="5" max="5" width="13.109375" customWidth="1"/>
    <col min="6" max="6" width="17.88671875" customWidth="1"/>
    <col min="7" max="7" width="11.88671875" customWidth="1"/>
    <col min="8" max="8" width="27.33203125" customWidth="1"/>
    <col min="9" max="10" width="14.44140625" customWidth="1"/>
    <col min="11" max="11" width="1.33203125" customWidth="1"/>
    <col min="12" max="12" width="2.21875" customWidth="1"/>
    <col min="13" max="13" width="8.21875" customWidth="1"/>
    <col min="14" max="14" width="10.33203125" customWidth="1"/>
    <col min="15" max="19" width="8.21875" customWidth="1"/>
    <col min="20" max="20" width="4.21875" customWidth="1"/>
    <col min="21" max="26" width="8.21875" customWidth="1"/>
  </cols>
  <sheetData>
    <row r="1" spans="2:20">
      <c r="B1" s="2133" t="s">
        <v>1769</v>
      </c>
      <c r="M1" s="1510"/>
    </row>
    <row r="2" spans="2:20" ht="24">
      <c r="B2" s="1471" t="s">
        <v>1120</v>
      </c>
      <c r="G2" s="1471" t="s">
        <v>1119</v>
      </c>
      <c r="M2" s="1510" t="str">
        <f>メイン!C6</f>
        <v>CASBEE-戸建（新築）2025年版</v>
      </c>
      <c r="N2">
        <v>1</v>
      </c>
      <c r="R2" t="s">
        <v>1021</v>
      </c>
    </row>
    <row r="3" spans="2:20" s="8" customFormat="1">
      <c r="B3" s="4" t="s">
        <v>1716</v>
      </c>
      <c r="C3" s="4"/>
      <c r="D3" s="4"/>
      <c r="E3" s="4"/>
      <c r="F3" s="4"/>
      <c r="G3" s="4"/>
      <c r="H3" s="4"/>
      <c r="I3" s="4"/>
      <c r="J3" s="4"/>
      <c r="K3" s="4"/>
      <c r="N3" s="8">
        <v>2</v>
      </c>
      <c r="P3"/>
      <c r="R3" s="1410" t="s">
        <v>1022</v>
      </c>
      <c r="S3" s="1410" t="s">
        <v>1023</v>
      </c>
      <c r="T3" s="1410" t="s">
        <v>1024</v>
      </c>
    </row>
    <row r="4" spans="2:20" ht="5.4" customHeight="1" thickBot="1">
      <c r="N4">
        <v>3</v>
      </c>
      <c r="R4" s="826"/>
      <c r="S4" s="826"/>
      <c r="T4" s="1411"/>
    </row>
    <row r="5" spans="2:20" ht="15" customHeight="1" thickBot="1">
      <c r="B5" s="1440" t="s">
        <v>1016</v>
      </c>
      <c r="C5" s="1441"/>
      <c r="D5" s="1441"/>
      <c r="E5" s="1441"/>
      <c r="F5" s="1441"/>
      <c r="G5" s="1441"/>
      <c r="H5" s="1441"/>
      <c r="I5" s="1441"/>
      <c r="J5" s="1441"/>
      <c r="K5" s="1442"/>
      <c r="N5">
        <v>4</v>
      </c>
      <c r="R5" s="826">
        <v>2</v>
      </c>
      <c r="S5" s="826">
        <v>0.4</v>
      </c>
      <c r="T5" s="1411" t="s">
        <v>1025</v>
      </c>
    </row>
    <row r="6" spans="2:20" ht="16.2" thickBot="1">
      <c r="B6" s="1472" t="s">
        <v>183</v>
      </c>
      <c r="C6" s="1473"/>
      <c r="D6" s="3087" t="str">
        <f>メイン!C10</f>
        <v>あおもりGX</v>
      </c>
      <c r="E6" s="3088"/>
      <c r="F6" s="3089"/>
      <c r="G6" s="1473"/>
      <c r="H6" s="1467" t="s">
        <v>1067</v>
      </c>
      <c r="I6" s="2390">
        <f>メイン!C23</f>
        <v>120.8</v>
      </c>
      <c r="J6" s="1459" t="s">
        <v>1142</v>
      </c>
      <c r="K6" s="1454"/>
      <c r="N6">
        <v>5</v>
      </c>
      <c r="R6" s="826">
        <v>3</v>
      </c>
      <c r="S6" s="826">
        <v>0.5</v>
      </c>
      <c r="T6" s="1411" t="s">
        <v>1025</v>
      </c>
    </row>
    <row r="7" spans="2:20" ht="13.8" thickBot="1">
      <c r="B7" s="1433" t="s">
        <v>1081</v>
      </c>
      <c r="C7" s="1432"/>
      <c r="D7" s="3090" t="s">
        <v>1130</v>
      </c>
      <c r="E7" s="3091"/>
      <c r="F7" s="3092"/>
      <c r="G7" s="1432"/>
      <c r="H7" s="1548" t="s">
        <v>431</v>
      </c>
      <c r="I7" s="3093"/>
      <c r="J7" s="3089"/>
      <c r="K7" s="1445"/>
      <c r="N7">
        <v>6</v>
      </c>
      <c r="R7" s="826">
        <v>4</v>
      </c>
      <c r="S7" s="826">
        <v>0.6</v>
      </c>
      <c r="T7" s="1411" t="s">
        <v>1025</v>
      </c>
    </row>
    <row r="8" spans="2:20">
      <c r="B8" s="1433" t="s">
        <v>219</v>
      </c>
      <c r="C8" s="1432"/>
      <c r="D8" s="2391">
        <f>メイン!C15</f>
        <v>3</v>
      </c>
      <c r="E8" s="1547" t="s">
        <v>634</v>
      </c>
      <c r="F8" s="1548" t="s">
        <v>1013</v>
      </c>
      <c r="G8" s="1460" t="s">
        <v>998</v>
      </c>
      <c r="H8" s="1574"/>
      <c r="I8" s="1576" t="s">
        <v>1026</v>
      </c>
      <c r="J8" s="1577">
        <f>VLOOKUP(D8,R4:T11,2)</f>
        <v>0.5</v>
      </c>
      <c r="K8" s="1454"/>
      <c r="M8" t="str">
        <f>IF(J8=Q14,P14,IF(H8="",P15,IF(H8&lt;=J8,P14,P15)))</f>
        <v>NG</v>
      </c>
      <c r="N8">
        <v>7</v>
      </c>
      <c r="R8" s="826">
        <v>5</v>
      </c>
      <c r="S8" s="826">
        <v>0.6</v>
      </c>
      <c r="T8" s="826">
        <v>3</v>
      </c>
    </row>
    <row r="9" spans="2:20">
      <c r="B9" s="1433"/>
      <c r="C9" s="1432"/>
      <c r="D9" s="1432"/>
      <c r="E9" s="1432"/>
      <c r="F9" s="1467"/>
      <c r="G9" s="1460" t="s">
        <v>999</v>
      </c>
      <c r="H9" s="1574"/>
      <c r="I9" s="1578" t="s">
        <v>1026</v>
      </c>
      <c r="J9" s="1579" t="str">
        <f>VLOOKUP(D8,R4:T11,3)</f>
        <v>-</v>
      </c>
      <c r="K9" s="1454"/>
      <c r="M9" t="str">
        <f>IF(J9=Q14,P14,IF(H9="",P15,IF(H9&lt;=J9,P14,P15)))</f>
        <v>OK</v>
      </c>
      <c r="N9">
        <v>8</v>
      </c>
      <c r="R9" s="826">
        <v>6</v>
      </c>
      <c r="S9" s="826">
        <v>0.6</v>
      </c>
      <c r="T9" s="826">
        <v>2.8</v>
      </c>
    </row>
    <row r="10" spans="2:20">
      <c r="B10" s="1433"/>
      <c r="C10" s="1432"/>
      <c r="D10" s="1432"/>
      <c r="E10" s="1432"/>
      <c r="F10" s="1467" t="s">
        <v>1143</v>
      </c>
      <c r="G10" s="1432"/>
      <c r="H10" s="1574"/>
      <c r="I10" s="1433" t="s">
        <v>1144</v>
      </c>
      <c r="J10" s="1454"/>
      <c r="K10" s="1454"/>
      <c r="R10" s="826">
        <v>7</v>
      </c>
      <c r="S10" s="826">
        <v>0.6</v>
      </c>
      <c r="T10" s="826">
        <v>2.7</v>
      </c>
    </row>
    <row r="11" spans="2:20">
      <c r="B11" s="1433"/>
      <c r="C11" s="1432"/>
      <c r="D11" s="1432"/>
      <c r="E11" s="1432"/>
      <c r="F11" s="1467" t="s">
        <v>1145</v>
      </c>
      <c r="G11" s="1432"/>
      <c r="H11" s="1575"/>
      <c r="I11" s="1580" t="s">
        <v>1079</v>
      </c>
      <c r="J11" s="1581"/>
      <c r="K11" s="1454"/>
      <c r="R11" s="826">
        <v>8</v>
      </c>
      <c r="S11" s="1411" t="s">
        <v>1025</v>
      </c>
      <c r="T11" s="826">
        <v>3.2</v>
      </c>
    </row>
    <row r="12" spans="2:20" ht="16.2" thickBot="1">
      <c r="B12" s="1474" t="s">
        <v>1127</v>
      </c>
      <c r="C12" s="1470"/>
      <c r="D12" s="1470" t="str">
        <f>IF(N12=R14,電気排出係数!B23,"")</f>
        <v/>
      </c>
      <c r="E12" s="1470">
        <f>電気排出係数!D5</f>
        <v>4.7699999999999999E-4</v>
      </c>
      <c r="F12" s="1470" t="s">
        <v>1717</v>
      </c>
      <c r="G12" s="1431"/>
      <c r="H12" s="1469" t="s">
        <v>471</v>
      </c>
      <c r="I12" s="3090" t="s">
        <v>1146</v>
      </c>
      <c r="J12" s="3092"/>
      <c r="K12" s="1537"/>
      <c r="N12" s="826"/>
    </row>
    <row r="13" spans="2:20" ht="5.0999999999999996" customHeight="1" thickBot="1"/>
    <row r="14" spans="2:20" ht="15" customHeight="1">
      <c r="B14" s="1440" t="s">
        <v>1017</v>
      </c>
      <c r="C14" s="1441"/>
      <c r="D14" s="1441"/>
      <c r="E14" s="1441"/>
      <c r="F14" s="1441"/>
      <c r="G14" s="1441"/>
      <c r="H14" s="1441"/>
      <c r="I14" s="1441"/>
      <c r="J14" s="1441"/>
      <c r="K14" s="1442"/>
      <c r="N14" s="826" t="s">
        <v>687</v>
      </c>
      <c r="O14" s="826"/>
      <c r="P14" t="s">
        <v>1028</v>
      </c>
      <c r="Q14" t="s">
        <v>55</v>
      </c>
      <c r="R14" t="s">
        <v>855</v>
      </c>
    </row>
    <row r="15" spans="2:20" ht="15" customHeight="1" thickBot="1">
      <c r="B15" s="1447" t="s">
        <v>1147</v>
      </c>
      <c r="C15" s="1448"/>
      <c r="D15" s="1448"/>
      <c r="E15" s="1448"/>
      <c r="F15" s="1448"/>
      <c r="G15" s="1448"/>
      <c r="H15" s="1448"/>
      <c r="I15" s="1448"/>
      <c r="J15" s="1448"/>
      <c r="K15" s="1449"/>
      <c r="P15" t="s">
        <v>1027</v>
      </c>
    </row>
    <row r="16" spans="2:20" ht="15" customHeight="1" thickBot="1">
      <c r="B16" s="1475"/>
      <c r="C16" s="1476"/>
      <c r="D16" s="1551"/>
      <c r="E16" t="s">
        <v>1008</v>
      </c>
      <c r="K16" s="1451"/>
    </row>
    <row r="17" spans="2:21" ht="15" customHeight="1" thickBot="1">
      <c r="B17" s="1447" t="s">
        <v>1110</v>
      </c>
      <c r="C17" s="1448"/>
      <c r="D17" s="1448"/>
      <c r="E17" s="1448"/>
      <c r="F17" s="1448"/>
      <c r="G17" s="1448"/>
      <c r="H17" s="1448"/>
      <c r="I17" s="1448"/>
      <c r="J17" s="1448"/>
      <c r="K17" s="1449"/>
      <c r="N17" t="s">
        <v>1082</v>
      </c>
      <c r="O17" t="s">
        <v>1108</v>
      </c>
    </row>
    <row r="18" spans="2:21" ht="15" customHeight="1" thickBot="1">
      <c r="B18" s="1450"/>
      <c r="C18" t="s">
        <v>1000</v>
      </c>
      <c r="D18" s="1550"/>
      <c r="E18" s="1477" t="s">
        <v>1002</v>
      </c>
      <c r="F18" s="1478"/>
      <c r="G18" s="1478"/>
      <c r="H18" s="1478"/>
      <c r="I18" s="1478"/>
      <c r="J18" s="1480" t="s">
        <v>719</v>
      </c>
      <c r="K18" s="1479"/>
      <c r="M18" s="1545">
        <f>N18</f>
        <v>5</v>
      </c>
      <c r="N18" s="2382">
        <f>採点Q2!D8</f>
        <v>5</v>
      </c>
      <c r="O18" s="1546">
        <f>IF(D16=N14,5,D18)</f>
        <v>0</v>
      </c>
      <c r="Q18" s="8"/>
      <c r="R18" t="s">
        <v>1049</v>
      </c>
    </row>
    <row r="19" spans="2:21" ht="15" customHeight="1">
      <c r="B19" s="1450"/>
      <c r="D19" s="1549" t="s">
        <v>202</v>
      </c>
      <c r="E19" s="1432" t="s">
        <v>1003</v>
      </c>
      <c r="F19" s="1432"/>
      <c r="G19" s="1432"/>
      <c r="H19" s="1432"/>
      <c r="I19" s="1432"/>
      <c r="J19" s="1432"/>
      <c r="K19" s="1454"/>
      <c r="Q19" s="1546">
        <v>3</v>
      </c>
      <c r="R19" s="826">
        <v>30</v>
      </c>
    </row>
    <row r="20" spans="2:21" ht="15" customHeight="1">
      <c r="B20" s="1450"/>
      <c r="C20" s="1513" t="s">
        <v>1109</v>
      </c>
      <c r="D20" s="1453" t="s">
        <v>1148</v>
      </c>
      <c r="E20" s="1432" t="s">
        <v>1004</v>
      </c>
      <c r="F20" s="1432"/>
      <c r="G20" s="1432"/>
      <c r="H20" s="1432"/>
      <c r="I20" s="1432"/>
      <c r="J20" s="1432"/>
      <c r="K20" s="1454"/>
      <c r="M20" s="1511">
        <f>VLOOKUP(M18,Q19:R21,2,FALSE)</f>
        <v>90</v>
      </c>
      <c r="N20" t="s">
        <v>912</v>
      </c>
      <c r="Q20" s="1546">
        <v>4</v>
      </c>
      <c r="R20" s="826">
        <v>60</v>
      </c>
    </row>
    <row r="21" spans="2:21" ht="15" customHeight="1">
      <c r="B21" s="1450"/>
      <c r="C21" s="1512" t="str">
        <f>M20&amp;"年"</f>
        <v>90年</v>
      </c>
      <c r="D21" s="1455" t="s">
        <v>1149</v>
      </c>
      <c r="E21" t="s">
        <v>1005</v>
      </c>
      <c r="K21" s="1451"/>
      <c r="Q21" s="1546">
        <v>5</v>
      </c>
      <c r="R21" s="826">
        <v>90</v>
      </c>
    </row>
    <row r="22" spans="2:21" ht="15" customHeight="1">
      <c r="B22" s="1456" t="s">
        <v>1150</v>
      </c>
      <c r="C22" s="1457" t="s">
        <v>1018</v>
      </c>
      <c r="D22" s="1457"/>
      <c r="E22" s="1457"/>
      <c r="F22" s="1457"/>
      <c r="G22" s="1457"/>
      <c r="H22" s="1457"/>
      <c r="I22" s="1457"/>
      <c r="J22" s="1457"/>
      <c r="K22" s="1458"/>
    </row>
    <row r="23" spans="2:21" ht="15" customHeight="1">
      <c r="B23" s="1438" t="s">
        <v>925</v>
      </c>
      <c r="E23" s="1592"/>
      <c r="F23" s="1592"/>
      <c r="G23" s="1592"/>
      <c r="J23" s="1593" t="str">
        <f>IF(N25=1,"",N26)</f>
        <v/>
      </c>
      <c r="K23" s="1594"/>
    </row>
    <row r="24" spans="2:21" ht="15" customHeight="1" thickBot="1">
      <c r="B24" s="1438"/>
      <c r="C24" s="3094" t="s">
        <v>1136</v>
      </c>
      <c r="D24" s="3095"/>
      <c r="E24" s="1595" t="s">
        <v>1073</v>
      </c>
      <c r="F24" s="1595" t="s">
        <v>1078</v>
      </c>
      <c r="G24" s="1595" t="s">
        <v>997</v>
      </c>
      <c r="H24" s="1596"/>
      <c r="I24" s="1559"/>
      <c r="J24" s="1570" t="s">
        <v>1137</v>
      </c>
      <c r="K24" s="1597"/>
      <c r="N24" t="s">
        <v>1121</v>
      </c>
      <c r="O24" s="826" t="s">
        <v>1085</v>
      </c>
      <c r="P24" s="826"/>
      <c r="Q24" s="826"/>
      <c r="R24" s="1546">
        <v>1</v>
      </c>
      <c r="U24" t="s">
        <v>1718</v>
      </c>
    </row>
    <row r="25" spans="2:21" ht="15" customHeight="1">
      <c r="B25" s="1450"/>
      <c r="C25" s="1481" t="s">
        <v>1074</v>
      </c>
      <c r="D25" s="1482"/>
      <c r="E25" s="2384">
        <f>N29</f>
        <v>1</v>
      </c>
      <c r="F25" s="2385" t="str">
        <f>採点LR3!E19</f>
        <v>③</v>
      </c>
      <c r="G25" s="1552">
        <f>IF(F25=0,0,VLOOKUP(F25,D29:J34,7))</f>
        <v>0.12</v>
      </c>
      <c r="H25" s="3070"/>
      <c r="I25" s="3071"/>
      <c r="J25" s="3071"/>
      <c r="K25" s="3072"/>
      <c r="N25" s="1573">
        <f>SUM(E25:E27)</f>
        <v>1</v>
      </c>
      <c r="O25" s="826" t="s">
        <v>1086</v>
      </c>
      <c r="P25" s="826"/>
      <c r="Q25" s="826"/>
      <c r="R25" s="1546">
        <v>2</v>
      </c>
    </row>
    <row r="26" spans="2:21" ht="15" customHeight="1">
      <c r="B26" s="1450"/>
      <c r="C26" s="1481" t="s">
        <v>1075</v>
      </c>
      <c r="D26" s="1482"/>
      <c r="E26" s="2386">
        <f>O29</f>
        <v>0</v>
      </c>
      <c r="F26" s="2387">
        <f>採点LR3!E27</f>
        <v>0</v>
      </c>
      <c r="G26" s="1552">
        <f>IF(F26=0,0,VLOOKUP(F26,D36:J39,7))</f>
        <v>0</v>
      </c>
      <c r="H26" s="3070"/>
      <c r="I26" s="3071"/>
      <c r="J26" s="3071"/>
      <c r="K26" s="3072"/>
      <c r="N26" t="s">
        <v>1122</v>
      </c>
      <c r="O26" s="826" t="s">
        <v>1087</v>
      </c>
      <c r="P26" s="826"/>
      <c r="Q26" s="826"/>
      <c r="R26" s="1546">
        <v>3</v>
      </c>
    </row>
    <row r="27" spans="2:21" ht="18.600000000000001" customHeight="1" thickBot="1">
      <c r="B27" s="1450"/>
      <c r="C27" s="1483" t="s">
        <v>1076</v>
      </c>
      <c r="D27" s="1484"/>
      <c r="E27" s="2388">
        <f>P29</f>
        <v>0</v>
      </c>
      <c r="F27" s="2389">
        <f>採点LR3!E33</f>
        <v>0</v>
      </c>
      <c r="G27" s="1553">
        <f>IF(F27=0,0,VLOOKUP(F27,D41:J44,7))</f>
        <v>0</v>
      </c>
      <c r="H27" s="3070"/>
      <c r="I27" s="3071"/>
      <c r="J27" s="3071"/>
      <c r="K27" s="3072"/>
      <c r="O27" s="826" t="s">
        <v>1088</v>
      </c>
      <c r="P27" s="826"/>
      <c r="Q27" s="826"/>
      <c r="R27" s="1546">
        <v>4</v>
      </c>
    </row>
    <row r="28" spans="2:21" ht="18.600000000000001" customHeight="1">
      <c r="B28" s="1450"/>
      <c r="C28" s="1459" t="s">
        <v>313</v>
      </c>
      <c r="D28" s="1453" t="s">
        <v>1077</v>
      </c>
      <c r="E28" s="1444" t="s">
        <v>1068</v>
      </c>
      <c r="F28" s="1444"/>
      <c r="G28" s="1432"/>
      <c r="H28" s="1432"/>
      <c r="I28" s="1432"/>
      <c r="J28" s="1460" t="s">
        <v>996</v>
      </c>
      <c r="K28" s="1454"/>
      <c r="N28" t="s">
        <v>1123</v>
      </c>
      <c r="O28" t="s">
        <v>748</v>
      </c>
      <c r="P28" t="s">
        <v>1124</v>
      </c>
    </row>
    <row r="29" spans="2:21" ht="18.600000000000001" customHeight="1">
      <c r="B29" s="1450"/>
      <c r="C29" s="1452"/>
      <c r="D29" s="1453" t="s">
        <v>777</v>
      </c>
      <c r="E29" s="1432" t="s">
        <v>1125</v>
      </c>
      <c r="F29" s="1432"/>
      <c r="G29" s="1432"/>
      <c r="H29" s="1432"/>
      <c r="I29" s="1432"/>
      <c r="J29" s="1598">
        <v>0.03</v>
      </c>
      <c r="K29" s="1454"/>
      <c r="N29" s="2383">
        <f>採点LR2!G8</f>
        <v>1</v>
      </c>
      <c r="O29" s="2383">
        <f>採点LR2!H8</f>
        <v>0</v>
      </c>
      <c r="P29" s="2383">
        <f>採点LR2!I8</f>
        <v>0</v>
      </c>
    </row>
    <row r="30" spans="2:21" ht="18.600000000000001" customHeight="1">
      <c r="B30" s="1450"/>
      <c r="C30" s="1461"/>
      <c r="D30" s="1453" t="s">
        <v>778</v>
      </c>
      <c r="E30" s="1432" t="s">
        <v>1131</v>
      </c>
      <c r="F30" s="1432"/>
      <c r="G30" s="1432"/>
      <c r="H30" s="1432"/>
      <c r="I30" s="1432"/>
      <c r="J30" s="1598">
        <v>0.06</v>
      </c>
      <c r="K30" s="1454"/>
    </row>
    <row r="31" spans="2:21" ht="18.600000000000001" customHeight="1">
      <c r="B31" s="1450"/>
      <c r="C31" s="1461"/>
      <c r="D31" s="1453" t="s">
        <v>779</v>
      </c>
      <c r="E31" s="1432" t="s">
        <v>1132</v>
      </c>
      <c r="F31" s="1432"/>
      <c r="G31" s="1432"/>
      <c r="H31" s="1432"/>
      <c r="I31" s="1432"/>
      <c r="J31" s="1598">
        <v>0.12</v>
      </c>
      <c r="K31" s="1454"/>
    </row>
    <row r="32" spans="2:21" ht="18.600000000000001" customHeight="1">
      <c r="B32" s="1450"/>
      <c r="C32" s="1452"/>
      <c r="D32" s="1453" t="s">
        <v>780</v>
      </c>
      <c r="E32" s="1432" t="s">
        <v>992</v>
      </c>
      <c r="F32" s="1432"/>
      <c r="G32" s="1432"/>
      <c r="H32" s="1432"/>
      <c r="I32" s="1432"/>
      <c r="J32" s="1598">
        <v>0.09</v>
      </c>
      <c r="K32" s="1454"/>
    </row>
    <row r="33" spans="2:18" ht="18.600000000000001" customHeight="1">
      <c r="B33" s="1450"/>
      <c r="C33" s="1452"/>
      <c r="D33" s="1453" t="s">
        <v>781</v>
      </c>
      <c r="E33" s="1432" t="s">
        <v>993</v>
      </c>
      <c r="F33" s="1432"/>
      <c r="G33" s="1432"/>
      <c r="H33" s="1432"/>
      <c r="I33" s="1432"/>
      <c r="J33" s="1598">
        <v>0.15</v>
      </c>
      <c r="K33" s="1454"/>
    </row>
    <row r="34" spans="2:18" ht="18.600000000000001" customHeight="1">
      <c r="B34" s="1450"/>
      <c r="C34" s="1444"/>
      <c r="D34" s="1453"/>
      <c r="E34" s="1432" t="s">
        <v>994</v>
      </c>
      <c r="F34" s="1432"/>
      <c r="G34" s="1432"/>
      <c r="H34" s="1432"/>
      <c r="I34" s="1432"/>
      <c r="J34" s="1598">
        <v>0</v>
      </c>
      <c r="K34" s="1454"/>
    </row>
    <row r="35" spans="2:18" ht="18.600000000000001" customHeight="1">
      <c r="B35" s="1450"/>
      <c r="C35" s="1459" t="s">
        <v>314</v>
      </c>
      <c r="D35" s="1453" t="s">
        <v>1077</v>
      </c>
      <c r="E35" s="1432" t="s">
        <v>1068</v>
      </c>
      <c r="F35" s="1432"/>
      <c r="G35" s="1432"/>
      <c r="H35" s="1432"/>
      <c r="I35" s="1432"/>
      <c r="J35" s="1598" t="s">
        <v>996</v>
      </c>
      <c r="K35" s="1454"/>
    </row>
    <row r="36" spans="2:18" ht="18.600000000000001" customHeight="1">
      <c r="B36" s="1450"/>
      <c r="C36" s="1461"/>
      <c r="D36" s="1453" t="s">
        <v>777</v>
      </c>
      <c r="E36" s="1432" t="s">
        <v>1151</v>
      </c>
      <c r="F36" s="1432"/>
      <c r="G36" s="1432"/>
      <c r="H36" s="1432"/>
      <c r="I36" s="1432"/>
      <c r="J36" s="1599">
        <v>0.09</v>
      </c>
      <c r="K36" s="1454"/>
    </row>
    <row r="37" spans="2:18" ht="18.600000000000001" customHeight="1">
      <c r="B37" s="1450"/>
      <c r="C37" s="1461"/>
      <c r="D37" s="1453" t="s">
        <v>778</v>
      </c>
      <c r="E37" s="1432" t="s">
        <v>1152</v>
      </c>
      <c r="F37" s="1432"/>
      <c r="G37" s="1432"/>
      <c r="H37" s="1432"/>
      <c r="I37" s="1432"/>
      <c r="J37" s="1599">
        <v>0.04</v>
      </c>
      <c r="K37" s="1454"/>
    </row>
    <row r="38" spans="2:18" ht="18.600000000000001" customHeight="1">
      <c r="B38" s="1450"/>
      <c r="C38" s="1452"/>
      <c r="D38" s="1453" t="s">
        <v>779</v>
      </c>
      <c r="E38" s="1432" t="s">
        <v>995</v>
      </c>
      <c r="F38" s="1432"/>
      <c r="G38" s="1432"/>
      <c r="H38" s="1432"/>
      <c r="I38" s="1432"/>
      <c r="J38" s="1599">
        <v>0.13</v>
      </c>
      <c r="K38" s="1454"/>
    </row>
    <row r="39" spans="2:18" ht="18.600000000000001" customHeight="1">
      <c r="B39" s="1450"/>
      <c r="C39" s="1444"/>
      <c r="D39" s="1453"/>
      <c r="E39" s="1432" t="s">
        <v>994</v>
      </c>
      <c r="F39" s="1432"/>
      <c r="G39" s="1432"/>
      <c r="H39" s="1432"/>
      <c r="I39" s="1432"/>
      <c r="J39" s="1598">
        <v>0</v>
      </c>
      <c r="K39" s="1454"/>
    </row>
    <row r="40" spans="2:18" ht="18.600000000000001" customHeight="1">
      <c r="B40" s="1450"/>
      <c r="C40" s="1463" t="s">
        <v>315</v>
      </c>
      <c r="D40" s="1453" t="s">
        <v>1077</v>
      </c>
      <c r="E40" s="1432" t="s">
        <v>1068</v>
      </c>
      <c r="F40" s="1432"/>
      <c r="G40" s="1432"/>
      <c r="H40" s="1432"/>
      <c r="I40" s="1432"/>
      <c r="J40" s="1598" t="s">
        <v>996</v>
      </c>
      <c r="K40" s="1454"/>
    </row>
    <row r="41" spans="2:18" ht="18.600000000000001" customHeight="1">
      <c r="B41" s="1450"/>
      <c r="C41" s="1452"/>
      <c r="D41" s="1453" t="s">
        <v>1153</v>
      </c>
      <c r="E41" s="1432" t="s">
        <v>1152</v>
      </c>
      <c r="F41" s="1432"/>
      <c r="G41" s="1432"/>
      <c r="H41" s="1432"/>
      <c r="I41" s="1432"/>
      <c r="J41" s="1598">
        <v>0.03</v>
      </c>
      <c r="K41" s="1454"/>
    </row>
    <row r="42" spans="2:18" ht="18.600000000000001" customHeight="1">
      <c r="B42" s="1450"/>
      <c r="C42" s="1452"/>
      <c r="D42" s="1453" t="s">
        <v>778</v>
      </c>
      <c r="E42" s="1432" t="s">
        <v>1154</v>
      </c>
      <c r="F42" s="1432"/>
      <c r="G42" s="1432"/>
      <c r="H42" s="1432"/>
      <c r="I42" s="1432"/>
      <c r="J42" s="1598">
        <v>0.08</v>
      </c>
      <c r="K42" s="1454"/>
    </row>
    <row r="43" spans="2:18" ht="18.600000000000001" customHeight="1">
      <c r="B43" s="1450"/>
      <c r="C43" s="1452"/>
      <c r="D43" s="1453" t="s">
        <v>779</v>
      </c>
      <c r="E43" s="1432" t="s">
        <v>995</v>
      </c>
      <c r="F43" s="1432"/>
      <c r="G43" s="1432"/>
      <c r="H43" s="1432"/>
      <c r="I43" s="1432"/>
      <c r="J43" s="1598">
        <v>0.11</v>
      </c>
      <c r="K43" s="1454"/>
    </row>
    <row r="44" spans="2:18" ht="18.600000000000001" customHeight="1">
      <c r="B44" s="1443"/>
      <c r="C44" s="1444"/>
      <c r="D44" s="1464"/>
      <c r="E44" s="1432" t="s">
        <v>994</v>
      </c>
      <c r="F44" s="1432"/>
      <c r="G44" s="1432"/>
      <c r="H44" s="1432"/>
      <c r="I44" s="1432"/>
      <c r="J44" s="1600">
        <v>0</v>
      </c>
      <c r="K44" s="1454"/>
    </row>
    <row r="45" spans="2:18" ht="18.600000000000001" customHeight="1">
      <c r="B45" s="1485" t="s">
        <v>927</v>
      </c>
      <c r="C45" s="1446"/>
      <c r="D45" s="1446"/>
      <c r="E45" s="990"/>
      <c r="F45" s="990"/>
      <c r="G45" s="990"/>
      <c r="H45" s="990"/>
      <c r="I45" s="990"/>
      <c r="J45" s="990"/>
      <c r="K45" s="1494"/>
      <c r="N45" t="s">
        <v>1082</v>
      </c>
      <c r="O45" t="s">
        <v>1108</v>
      </c>
    </row>
    <row r="46" spans="2:18" ht="15" customHeight="1" thickBot="1">
      <c r="B46" s="1450"/>
      <c r="C46" s="1486" t="s">
        <v>1006</v>
      </c>
      <c r="D46" s="1538" t="e">
        <f>P47+R47</f>
        <v>#N/A</v>
      </c>
      <c r="E46" s="1477" t="s">
        <v>1002</v>
      </c>
      <c r="F46" s="1478"/>
      <c r="G46" s="1478"/>
      <c r="H46" s="1478"/>
      <c r="I46" s="1478"/>
      <c r="J46" s="1480" t="s">
        <v>1100</v>
      </c>
      <c r="K46" s="1479"/>
      <c r="M46" s="1545">
        <f>N46</f>
        <v>5</v>
      </c>
      <c r="N46" s="2382">
        <f>採点Q2!D18</f>
        <v>5</v>
      </c>
      <c r="O46" s="1546" t="e">
        <f>D46</f>
        <v>#N/A</v>
      </c>
    </row>
    <row r="47" spans="2:18" ht="15" customHeight="1" thickBot="1">
      <c r="B47" s="1450"/>
      <c r="C47" s="1487"/>
      <c r="D47" s="1554" t="s">
        <v>1083</v>
      </c>
      <c r="E47" s="3073"/>
      <c r="F47" s="3074"/>
      <c r="G47" s="3074"/>
      <c r="H47" s="3074"/>
      <c r="I47" s="3075"/>
      <c r="J47" s="1459"/>
      <c r="K47" s="1454"/>
      <c r="O47" t="s">
        <v>420</v>
      </c>
      <c r="P47" s="1415" t="e">
        <f>VLOOKUP(E47,O24:R27,4,FALSE)</f>
        <v>#N/A</v>
      </c>
      <c r="Q47" t="s">
        <v>1084</v>
      </c>
      <c r="R47" s="826">
        <f>IF(COUNTIF(F48:J48,N14)&gt;0,1,0)</f>
        <v>0</v>
      </c>
    </row>
    <row r="48" spans="2:18" ht="15" customHeight="1" thickBot="1">
      <c r="B48" s="1450"/>
      <c r="C48" s="1491"/>
      <c r="D48" s="1464" t="s">
        <v>1084</v>
      </c>
      <c r="E48" s="1555" t="s">
        <v>1138</v>
      </c>
      <c r="F48" s="1551"/>
      <c r="G48" s="1492" t="s">
        <v>1139</v>
      </c>
      <c r="H48" s="1551"/>
      <c r="I48" s="1492" t="s">
        <v>1155</v>
      </c>
      <c r="J48" s="1551"/>
      <c r="K48" s="1493"/>
      <c r="N48" t="s">
        <v>1082</v>
      </c>
      <c r="O48" t="s">
        <v>1108</v>
      </c>
    </row>
    <row r="49" spans="2:18" ht="15" customHeight="1" thickBot="1">
      <c r="B49" s="1450"/>
      <c r="C49" s="1495" t="s">
        <v>1089</v>
      </c>
      <c r="D49" s="1543" t="e">
        <f>IF(P50+R50&gt;5,5,P50+R50)</f>
        <v>#N/A</v>
      </c>
      <c r="E49" s="1477" t="s">
        <v>1002</v>
      </c>
      <c r="F49" s="1478"/>
      <c r="G49" s="1478"/>
      <c r="H49" s="1478"/>
      <c r="I49" s="1559"/>
      <c r="J49" s="1556" t="s">
        <v>1099</v>
      </c>
      <c r="K49" s="1501"/>
      <c r="M49" s="1545">
        <f>N49</f>
        <v>5</v>
      </c>
      <c r="N49" s="2382">
        <f>採点Q2!D34</f>
        <v>5</v>
      </c>
      <c r="O49" s="1546" t="e">
        <f>D49</f>
        <v>#N/A</v>
      </c>
    </row>
    <row r="50" spans="2:18" ht="15" customHeight="1" thickBot="1">
      <c r="B50" s="1450"/>
      <c r="C50" s="1496" t="s">
        <v>1090</v>
      </c>
      <c r="D50" s="1554" t="s">
        <v>1083</v>
      </c>
      <c r="E50" s="3073"/>
      <c r="F50" s="3074"/>
      <c r="G50" s="3074"/>
      <c r="H50" s="3074"/>
      <c r="I50" s="3075"/>
      <c r="K50" s="1445"/>
      <c r="O50" t="s">
        <v>420</v>
      </c>
      <c r="P50" s="1415" t="e">
        <f>VLOOKUP(E50,O24:R27,4,FALSE)</f>
        <v>#N/A</v>
      </c>
      <c r="Q50" t="s">
        <v>1084</v>
      </c>
      <c r="R50" s="826">
        <f>IF(C51=P51,R51,R52+R53)</f>
        <v>0</v>
      </c>
    </row>
    <row r="51" spans="2:18" ht="15" customHeight="1" thickBot="1">
      <c r="B51" s="1450"/>
      <c r="C51" s="1558"/>
      <c r="D51" s="1557" t="s">
        <v>1091</v>
      </c>
      <c r="E51" s="1560" t="s">
        <v>1138</v>
      </c>
      <c r="F51" s="1551"/>
      <c r="G51" s="1561" t="s">
        <v>1139</v>
      </c>
      <c r="H51" s="1551"/>
      <c r="I51" s="1561"/>
      <c r="J51" s="1489"/>
      <c r="K51" s="1454"/>
      <c r="O51" t="s">
        <v>376</v>
      </c>
      <c r="P51" t="s">
        <v>1095</v>
      </c>
      <c r="R51" s="826">
        <f>IF(COUNTIF(F51:J51,N14)&gt;0,1,0)</f>
        <v>0</v>
      </c>
    </row>
    <row r="52" spans="2:18" ht="15" customHeight="1">
      <c r="B52" s="1450"/>
      <c r="C52" s="1487"/>
      <c r="D52" s="1488" t="s">
        <v>1092</v>
      </c>
      <c r="E52" s="3076" t="s">
        <v>1093</v>
      </c>
      <c r="F52" s="3077"/>
      <c r="G52" s="1562" t="s">
        <v>1138</v>
      </c>
      <c r="H52" s="1563"/>
      <c r="I52" s="1490" t="s">
        <v>1139</v>
      </c>
      <c r="J52" s="1563"/>
      <c r="K52" s="1454"/>
      <c r="P52" t="s">
        <v>1096</v>
      </c>
      <c r="Q52" t="s">
        <v>1094</v>
      </c>
      <c r="R52" s="826">
        <f>IF(COUNTIF(H52:J52,N14)&gt;0,1,0)</f>
        <v>0</v>
      </c>
    </row>
    <row r="53" spans="2:18" ht="15" customHeight="1" thickBot="1">
      <c r="B53" s="1450"/>
      <c r="C53" s="1491"/>
      <c r="D53" s="1455"/>
      <c r="E53" s="3078" t="s">
        <v>1128</v>
      </c>
      <c r="F53" s="3079"/>
      <c r="G53" s="1555" t="s">
        <v>1138</v>
      </c>
      <c r="H53" s="1564"/>
      <c r="I53" s="1492" t="s">
        <v>1139</v>
      </c>
      <c r="J53" s="1564"/>
      <c r="K53" s="1493"/>
      <c r="N53" t="s">
        <v>1082</v>
      </c>
      <c r="O53" t="s">
        <v>1108</v>
      </c>
      <c r="Q53" t="s">
        <v>21</v>
      </c>
      <c r="R53" s="826">
        <f>IF(COUNTIF(H53:J53,N14)&gt;0,1,0)</f>
        <v>0</v>
      </c>
    </row>
    <row r="54" spans="2:18" ht="15" customHeight="1">
      <c r="B54" s="1450"/>
      <c r="C54" s="1495" t="s">
        <v>1156</v>
      </c>
      <c r="D54" s="1544">
        <f>IF(D16=N14,5,IF(R55&gt;=2,5,IF(R55=1,4,3)))</f>
        <v>3</v>
      </c>
      <c r="E54" s="1477" t="s">
        <v>1002</v>
      </c>
      <c r="F54" s="1478"/>
      <c r="G54" s="1478"/>
      <c r="H54" s="1478"/>
      <c r="I54" s="1478"/>
      <c r="J54" s="1480" t="s">
        <v>1098</v>
      </c>
      <c r="K54" s="1479"/>
      <c r="M54" s="1545">
        <f>N54</f>
        <v>5</v>
      </c>
      <c r="N54" s="2382">
        <f>採点Q2!D175</f>
        <v>5</v>
      </c>
      <c r="O54" s="1546">
        <f>D54</f>
        <v>3</v>
      </c>
    </row>
    <row r="55" spans="2:18" ht="15" customHeight="1" thickBot="1">
      <c r="B55" s="1450"/>
      <c r="C55" s="1495" t="s">
        <v>1129</v>
      </c>
      <c r="D55" s="1566" t="s">
        <v>1097</v>
      </c>
      <c r="E55" s="3080" t="s">
        <v>1007</v>
      </c>
      <c r="F55" s="3081"/>
      <c r="G55" s="3081"/>
      <c r="H55" s="3081"/>
      <c r="I55" s="3081"/>
      <c r="J55" s="3081"/>
      <c r="K55" s="3082"/>
      <c r="Q55" s="1416" t="s">
        <v>1058</v>
      </c>
      <c r="R55" s="991">
        <f>COUNTIF(D56:D59,N14)</f>
        <v>0</v>
      </c>
    </row>
    <row r="56" spans="2:18" ht="15" customHeight="1">
      <c r="B56" s="1450"/>
      <c r="C56" s="1565"/>
      <c r="D56" s="1563"/>
      <c r="E56" s="1432" t="s">
        <v>1009</v>
      </c>
      <c r="F56" s="1432"/>
      <c r="G56" s="1432"/>
      <c r="H56" s="1432"/>
      <c r="I56" s="1432"/>
      <c r="J56" s="1432"/>
      <c r="K56" s="1454"/>
      <c r="O56" s="1546">
        <v>3</v>
      </c>
      <c r="P56" s="1416" t="s">
        <v>1056</v>
      </c>
      <c r="Q56" s="990"/>
      <c r="R56" s="991"/>
    </row>
    <row r="57" spans="2:18" ht="30.6" customHeight="1">
      <c r="B57" s="1450"/>
      <c r="C57" s="1565"/>
      <c r="D57" s="1568"/>
      <c r="E57" s="1432" t="s">
        <v>1010</v>
      </c>
      <c r="F57" s="1432"/>
      <c r="G57" s="1432"/>
      <c r="H57" s="1432"/>
      <c r="I57" s="1432"/>
      <c r="J57" s="1432"/>
      <c r="K57" s="1454"/>
      <c r="O57" s="1546">
        <v>4</v>
      </c>
      <c r="P57" s="1416" t="s">
        <v>1057</v>
      </c>
      <c r="Q57" s="990"/>
      <c r="R57" s="991"/>
    </row>
    <row r="58" spans="2:18" ht="30.6" customHeight="1">
      <c r="B58" s="1450"/>
      <c r="C58" s="1565"/>
      <c r="D58" s="1568"/>
      <c r="E58" s="3083" t="s">
        <v>1011</v>
      </c>
      <c r="F58" s="3083"/>
      <c r="G58" s="3083"/>
      <c r="H58" s="3083"/>
      <c r="I58" s="3083"/>
      <c r="J58" s="3083"/>
      <c r="K58" s="1454"/>
      <c r="O58" s="1546">
        <v>5</v>
      </c>
      <c r="P58" s="1416" t="s">
        <v>1059</v>
      </c>
      <c r="Q58" s="990"/>
      <c r="R58" s="991"/>
    </row>
    <row r="59" spans="2:18" ht="30.6" customHeight="1" thickBot="1">
      <c r="B59" s="1462"/>
      <c r="C59" s="1491"/>
      <c r="D59" s="1569"/>
      <c r="E59" s="3084" t="s">
        <v>1012</v>
      </c>
      <c r="F59" s="3084"/>
      <c r="G59" s="3084"/>
      <c r="H59" s="3084"/>
      <c r="I59" s="3084"/>
      <c r="J59" s="3084"/>
      <c r="K59" s="1493"/>
    </row>
    <row r="60" spans="2:18" ht="15" customHeight="1">
      <c r="B60" s="1497" t="s">
        <v>1101</v>
      </c>
      <c r="C60" s="1498"/>
      <c r="D60" s="1567"/>
      <c r="E60" s="1498"/>
      <c r="F60" s="1498"/>
      <c r="G60" s="1498"/>
      <c r="H60" s="1498"/>
      <c r="I60" s="1498"/>
      <c r="J60" s="1498"/>
      <c r="K60" s="1499"/>
    </row>
    <row r="61" spans="2:18" ht="15" customHeight="1" thickBot="1">
      <c r="B61" s="1500"/>
      <c r="C61" s="1486" t="s">
        <v>1020</v>
      </c>
      <c r="D61" s="1559"/>
      <c r="E61" s="1559"/>
      <c r="F61" s="1570" t="s">
        <v>1102</v>
      </c>
      <c r="G61" s="1570"/>
      <c r="H61" s="1570"/>
      <c r="I61" s="1570"/>
      <c r="J61" s="1570" t="s">
        <v>1102</v>
      </c>
      <c r="K61" s="1597"/>
    </row>
    <row r="62" spans="2:18" ht="15" customHeight="1">
      <c r="B62" s="1500"/>
      <c r="C62" s="1584" t="s">
        <v>1070</v>
      </c>
      <c r="D62" s="1582"/>
      <c r="E62" s="1582"/>
      <c r="F62" s="1582"/>
      <c r="G62" s="2392">
        <f>採点LR1!I19</f>
        <v>96395</v>
      </c>
      <c r="H62" s="1502" t="s">
        <v>1069</v>
      </c>
      <c r="I62" s="1502"/>
      <c r="J62" s="2392">
        <f>採点LR1!I23</f>
        <v>0</v>
      </c>
      <c r="K62" s="1454"/>
    </row>
    <row r="63" spans="2:18">
      <c r="B63" s="1500"/>
      <c r="C63" s="1584" t="s">
        <v>1719</v>
      </c>
      <c r="D63" s="1582"/>
      <c r="E63" s="1582"/>
      <c r="F63" s="1582"/>
      <c r="G63" s="2395">
        <f>採点LR1!I20</f>
        <v>68315</v>
      </c>
      <c r="H63" s="1502" t="s">
        <v>1720</v>
      </c>
      <c r="I63" s="1502"/>
      <c r="J63" s="2393">
        <f>採点LR1!I24</f>
        <v>0</v>
      </c>
      <c r="K63" s="1454"/>
    </row>
    <row r="64" spans="2:18" ht="13.8" thickBot="1">
      <c r="B64" s="1500"/>
      <c r="C64" s="2162" t="s">
        <v>1721</v>
      </c>
      <c r="D64" s="1582"/>
      <c r="E64" s="1582"/>
      <c r="F64" s="1582"/>
      <c r="G64" s="2395">
        <f>採点LR1!I21</f>
        <v>0</v>
      </c>
      <c r="H64" s="1502" t="s">
        <v>1722</v>
      </c>
      <c r="I64" s="1502"/>
      <c r="J64" s="2394">
        <f>採点LR1!I25</f>
        <v>0</v>
      </c>
      <c r="K64" s="1454"/>
      <c r="P64" s="2163"/>
      <c r="R64" s="2163"/>
    </row>
    <row r="65" spans="2:22" ht="15" customHeight="1" thickBot="1">
      <c r="B65" s="1500"/>
      <c r="C65" s="2164" t="s">
        <v>1723</v>
      </c>
      <c r="D65" s="1583"/>
      <c r="E65" s="1583"/>
      <c r="F65" s="1583"/>
      <c r="G65" s="2396">
        <f>採点LR1!I22</f>
        <v>21241</v>
      </c>
      <c r="H65" s="2165"/>
      <c r="I65" s="2165"/>
      <c r="J65" s="2397"/>
      <c r="K65" s="1493"/>
    </row>
    <row r="66" spans="2:22" ht="15" customHeight="1">
      <c r="B66" s="1500"/>
      <c r="C66" s="1503" t="s">
        <v>1140</v>
      </c>
      <c r="D66" s="1544">
        <f>IF(R67=3,5,IF(R67=2,4,IF(R67=1,3,1)))</f>
        <v>1</v>
      </c>
      <c r="E66" s="1477" t="s">
        <v>1002</v>
      </c>
      <c r="F66" s="1478"/>
      <c r="G66" s="1478"/>
      <c r="H66" s="1478"/>
      <c r="I66" s="1478"/>
      <c r="J66" s="1480" t="s">
        <v>1141</v>
      </c>
      <c r="K66" s="1479"/>
      <c r="M66" s="1545">
        <f>N66</f>
        <v>4</v>
      </c>
      <c r="N66" s="1546">
        <f>採点LR1!D103</f>
        <v>4</v>
      </c>
      <c r="O66" s="1546">
        <f>D66</f>
        <v>1</v>
      </c>
    </row>
    <row r="67" spans="2:22" ht="15" customHeight="1" thickBot="1">
      <c r="B67" s="1500"/>
      <c r="C67" s="1504"/>
      <c r="D67" s="1566" t="s">
        <v>1097</v>
      </c>
      <c r="E67" s="3080" t="s">
        <v>1007</v>
      </c>
      <c r="F67" s="3081"/>
      <c r="G67" s="3081"/>
      <c r="H67" s="3081"/>
      <c r="I67" s="3081"/>
      <c r="J67" s="3081"/>
      <c r="K67" s="3082"/>
      <c r="Q67" s="1416" t="s">
        <v>1058</v>
      </c>
      <c r="R67" s="991">
        <f>COUNTIF(D68:D70,N14)</f>
        <v>0</v>
      </c>
    </row>
    <row r="68" spans="2:22" ht="15" customHeight="1">
      <c r="B68" s="1500"/>
      <c r="C68" s="1571"/>
      <c r="D68" s="1563"/>
      <c r="E68" s="1536" t="s">
        <v>1103</v>
      </c>
      <c r="F68" s="1539"/>
      <c r="G68" s="1502"/>
      <c r="H68" s="1502"/>
      <c r="I68" s="1502"/>
      <c r="J68" s="1540"/>
      <c r="K68" s="1505"/>
      <c r="O68" s="1546">
        <v>3</v>
      </c>
      <c r="P68" s="1416" t="s">
        <v>1057</v>
      </c>
      <c r="Q68" s="990"/>
      <c r="R68" s="991"/>
    </row>
    <row r="69" spans="2:22" ht="15" customHeight="1">
      <c r="B69" s="1500"/>
      <c r="C69" s="1571"/>
      <c r="D69" s="1568"/>
      <c r="E69" s="1536" t="s">
        <v>1104</v>
      </c>
      <c r="F69" s="1539"/>
      <c r="G69" s="1502"/>
      <c r="H69" s="1502"/>
      <c r="I69" s="1502"/>
      <c r="J69" s="1540"/>
      <c r="K69" s="1505"/>
      <c r="O69" s="1546">
        <v>4</v>
      </c>
      <c r="P69" s="1416" t="s">
        <v>1106</v>
      </c>
      <c r="Q69" s="990"/>
      <c r="R69" s="991"/>
    </row>
    <row r="70" spans="2:22" ht="15" customHeight="1" thickBot="1">
      <c r="B70" s="1506"/>
      <c r="C70" s="1572"/>
      <c r="D70" s="1569"/>
      <c r="E70" s="1507" t="s">
        <v>1105</v>
      </c>
      <c r="F70" s="1541"/>
      <c r="G70" s="1508"/>
      <c r="H70" s="1508"/>
      <c r="I70" s="1508"/>
      <c r="J70" s="1542"/>
      <c r="K70" s="1509"/>
      <c r="O70" s="1546">
        <v>5</v>
      </c>
      <c r="P70" s="1416" t="s">
        <v>1107</v>
      </c>
      <c r="Q70" s="990"/>
      <c r="R70" s="991"/>
    </row>
    <row r="71" spans="2:22" ht="5.0999999999999996" customHeight="1" thickBot="1"/>
    <row r="72" spans="2:22" ht="15" customHeight="1" thickBot="1">
      <c r="B72" s="1440" t="s">
        <v>1019</v>
      </c>
      <c r="C72" s="1465"/>
      <c r="D72" s="1465"/>
      <c r="E72" s="1465"/>
      <c r="F72" s="1465"/>
      <c r="G72" s="1465"/>
      <c r="H72" s="1465"/>
      <c r="I72" s="1465"/>
      <c r="J72" s="1465"/>
      <c r="K72" s="1466"/>
      <c r="O72" t="s">
        <v>420</v>
      </c>
      <c r="P72" s="1415">
        <f>IF(D54=N14,5,IF(R55&gt;=2,5,IF(R55=1,4,3)))</f>
        <v>3</v>
      </c>
    </row>
    <row r="73" spans="2:22" ht="15" customHeight="1">
      <c r="B73" s="1438"/>
      <c r="F73" s="1525" t="s">
        <v>1115</v>
      </c>
      <c r="G73" s="1526"/>
      <c r="H73" s="1526"/>
      <c r="I73" s="1526"/>
      <c r="J73" s="3085" t="s">
        <v>1157</v>
      </c>
      <c r="K73" s="3086"/>
      <c r="O73" s="307" t="s">
        <v>395</v>
      </c>
      <c r="P73" s="1086">
        <f>IF(I79&lt;=0,1,IF(I79&lt;=0.5,0.8,IF(I79&lt;=0.75,0.6,IF(I79&lt;=1,0.4,0.2))))</f>
        <v>0.6</v>
      </c>
    </row>
    <row r="74" spans="2:22" ht="15" customHeight="1">
      <c r="B74" s="3067" t="str">
        <f>IF(I79&lt;=0,M74,M75)</f>
        <v>不適合</v>
      </c>
      <c r="C74" s="3068"/>
      <c r="D74" s="3068"/>
      <c r="E74" s="3069"/>
      <c r="F74" s="1527"/>
      <c r="G74" s="1482"/>
      <c r="H74" s="1482"/>
      <c r="I74" s="1514" t="s">
        <v>420</v>
      </c>
      <c r="J74" s="1591" t="s">
        <v>225</v>
      </c>
      <c r="K74" s="1515"/>
      <c r="M74" t="s">
        <v>1116</v>
      </c>
      <c r="O74" s="307" t="s">
        <v>122</v>
      </c>
      <c r="P74" s="626">
        <f>1-P73</f>
        <v>0.4</v>
      </c>
    </row>
    <row r="75" spans="2:22" ht="15" customHeight="1">
      <c r="B75" s="3067"/>
      <c r="C75" s="3068"/>
      <c r="D75" s="3068"/>
      <c r="E75" s="3069"/>
      <c r="F75" s="1528" t="s">
        <v>1111</v>
      </c>
      <c r="G75" s="1516"/>
      <c r="H75" s="1517" t="s">
        <v>1138</v>
      </c>
      <c r="I75" s="2166">
        <f>CO2計算!M89</f>
        <v>2.7896000000000001</v>
      </c>
      <c r="J75" s="1468">
        <f>CO2計算!P89</f>
        <v>9.52</v>
      </c>
      <c r="K75" s="1454"/>
      <c r="M75" t="s">
        <v>1117</v>
      </c>
      <c r="O75" t="s">
        <v>1029</v>
      </c>
      <c r="P75" s="1409"/>
    </row>
    <row r="76" spans="2:22" ht="15" customHeight="1">
      <c r="B76" s="3067"/>
      <c r="C76" s="3068"/>
      <c r="D76" s="3068"/>
      <c r="E76" s="3069"/>
      <c r="F76" s="1528" t="s">
        <v>1112</v>
      </c>
      <c r="G76" s="1516"/>
      <c r="H76" s="1517" t="s">
        <v>1139</v>
      </c>
      <c r="I76" s="2166">
        <f>CO2計算!M90</f>
        <v>4.75</v>
      </c>
      <c r="J76" s="1468">
        <f>CO2計算!P90</f>
        <v>2.83</v>
      </c>
      <c r="K76" s="1454"/>
      <c r="O76" s="1413" t="s">
        <v>1031</v>
      </c>
      <c r="P76" s="1414" t="s">
        <v>1032</v>
      </c>
      <c r="Q76" s="2398">
        <f>G62-G65</f>
        <v>75154</v>
      </c>
      <c r="V76" s="1409"/>
    </row>
    <row r="77" spans="2:22" ht="15" customHeight="1">
      <c r="B77" s="3067"/>
      <c r="C77" s="3068"/>
      <c r="D77" s="3068"/>
      <c r="E77" s="3069"/>
      <c r="F77" s="1528" t="s">
        <v>1113</v>
      </c>
      <c r="G77" s="1516"/>
      <c r="H77" s="1517" t="s">
        <v>1155</v>
      </c>
      <c r="I77" s="2166">
        <f>CO2計算!M91</f>
        <v>29.86964678777413</v>
      </c>
      <c r="J77" s="1468">
        <f>CO2計算!P91</f>
        <v>38.802961218453483</v>
      </c>
      <c r="K77" s="1454"/>
      <c r="O77" s="1413" t="s">
        <v>1035</v>
      </c>
      <c r="P77" s="1414" t="s">
        <v>1036</v>
      </c>
      <c r="Q77" s="2398">
        <f>J62</f>
        <v>0</v>
      </c>
    </row>
    <row r="78" spans="2:22" ht="15" customHeight="1" thickBot="1">
      <c r="B78" s="3067"/>
      <c r="C78" s="3068"/>
      <c r="D78" s="3068"/>
      <c r="E78" s="3069"/>
      <c r="F78" s="1529" t="s">
        <v>1071</v>
      </c>
      <c r="G78" s="1518"/>
      <c r="H78" s="1519" t="s">
        <v>1158</v>
      </c>
      <c r="I78" s="2167" t="str">
        <f>"(d1)  "&amp;ROUND(CO2計算!M92,2)</f>
        <v>(d1)  37.41</v>
      </c>
      <c r="J78" s="1532" t="str">
        <f>"(d2)  "&amp;ROUND(CO2計算!P92,2)</f>
        <v>(d2)  51.15</v>
      </c>
      <c r="K78" s="1493"/>
      <c r="O78" s="1413" t="s">
        <v>1048</v>
      </c>
      <c r="P78" s="1414" t="s">
        <v>1039</v>
      </c>
      <c r="Q78" s="2398">
        <f>G63-G65-J62</f>
        <v>47074</v>
      </c>
    </row>
    <row r="79" spans="2:22" ht="15" customHeight="1" thickBot="1">
      <c r="B79" s="1430"/>
      <c r="C79" s="1431"/>
      <c r="D79" s="1431"/>
      <c r="E79" s="1431"/>
      <c r="F79" s="1530" t="s">
        <v>1114</v>
      </c>
      <c r="G79" s="1520"/>
      <c r="H79" s="1521" t="s">
        <v>1159</v>
      </c>
      <c r="I79" s="1522">
        <f>ROUNDUP(CO2計算!M92/CO2計算!P92,2)</f>
        <v>0.74</v>
      </c>
      <c r="J79" s="1523">
        <v>1</v>
      </c>
      <c r="K79" s="1524"/>
      <c r="O79" s="1413" t="s">
        <v>1041</v>
      </c>
      <c r="P79" s="1414" t="s">
        <v>1042</v>
      </c>
      <c r="Q79" s="2398">
        <f>J63</f>
        <v>0</v>
      </c>
    </row>
    <row r="80" spans="2:22">
      <c r="O80" s="1413" t="s">
        <v>1044</v>
      </c>
      <c r="P80" s="1414" t="s">
        <v>1045</v>
      </c>
      <c r="Q80" s="2398">
        <f>Q76-Q78</f>
        <v>28080</v>
      </c>
    </row>
    <row r="81" spans="2:18">
      <c r="O81" s="1413" t="s">
        <v>1046</v>
      </c>
      <c r="P81" s="1414" t="s">
        <v>1047</v>
      </c>
      <c r="Q81" s="2398">
        <f>Q80+Q79</f>
        <v>28080</v>
      </c>
    </row>
    <row r="83" spans="2:18">
      <c r="R83" s="1412" t="s">
        <v>1030</v>
      </c>
    </row>
    <row r="84" spans="2:18">
      <c r="O84" s="826" t="s">
        <v>1033</v>
      </c>
      <c r="P84" s="826">
        <f>Q81/Q76</f>
        <v>0.37363280730233922</v>
      </c>
      <c r="Q84" s="826" t="s">
        <v>1034</v>
      </c>
      <c r="R84" s="1414" t="str">
        <f>IF(P84&gt;=1,P14,P15)</f>
        <v>NG</v>
      </c>
    </row>
    <row r="85" spans="2:18">
      <c r="O85" s="826" t="s">
        <v>1037</v>
      </c>
      <c r="P85" s="826">
        <f>Q80/Q76</f>
        <v>0.37363280730233922</v>
      </c>
      <c r="Q85" s="826" t="s">
        <v>1038</v>
      </c>
      <c r="R85" s="1414" t="str">
        <f>IF(P85&gt;=0.2,P14,P15)</f>
        <v>OK</v>
      </c>
    </row>
    <row r="86" spans="2:18">
      <c r="R86" s="1409" t="s">
        <v>1040</v>
      </c>
    </row>
    <row r="87" spans="2:18">
      <c r="Q87" s="1418" t="s">
        <v>1043</v>
      </c>
      <c r="R87" s="1414" t="str">
        <f>IF(AND(R84=P14,R85=P14),P14,P15)</f>
        <v>NG</v>
      </c>
    </row>
    <row r="88" spans="2:18">
      <c r="B88" s="1438" t="s">
        <v>1072</v>
      </c>
      <c r="D88" s="519" t="str">
        <f>IF(AND(F89=P14,F90=P14,F91=P14),P14,P15)</f>
        <v>NG</v>
      </c>
    </row>
    <row r="89" spans="2:18">
      <c r="B89" s="1433"/>
      <c r="C89" s="1432" t="s">
        <v>1013</v>
      </c>
      <c r="D89" s="1432" t="str">
        <f>G8&amp;"＝"&amp;H8</f>
        <v>U値＝</v>
      </c>
      <c r="E89" s="1432" t="str">
        <f>G9&amp;"＝"&amp;H9</f>
        <v>ηAC値＝</v>
      </c>
      <c r="F89" s="1436" t="str">
        <f>IF(AND(M8=P14,M9=P14),P14,P15)</f>
        <v>NG</v>
      </c>
    </row>
    <row r="90" spans="2:18">
      <c r="B90" s="1433"/>
      <c r="C90" s="1432" t="s">
        <v>1014</v>
      </c>
      <c r="D90" s="1432"/>
      <c r="E90" s="1434">
        <f>P85</f>
        <v>0.37363280730233922</v>
      </c>
      <c r="F90" s="1436" t="str">
        <f>R84</f>
        <v>NG</v>
      </c>
    </row>
    <row r="91" spans="2:18" ht="13.8" thickBot="1">
      <c r="B91" s="1430"/>
      <c r="C91" s="1431" t="s">
        <v>1015</v>
      </c>
      <c r="D91" s="1431"/>
      <c r="E91" s="1435">
        <f>P84</f>
        <v>0.37363280730233922</v>
      </c>
      <c r="F91" s="1437" t="str">
        <f>R85</f>
        <v>OK</v>
      </c>
    </row>
  </sheetData>
  <mergeCells count="18">
    <mergeCell ref="H25:K25"/>
    <mergeCell ref="D6:F6"/>
    <mergeCell ref="D7:F7"/>
    <mergeCell ref="I7:J7"/>
    <mergeCell ref="I12:J12"/>
    <mergeCell ref="C24:D24"/>
    <mergeCell ref="B74:E78"/>
    <mergeCell ref="H26:K26"/>
    <mergeCell ref="H27:K27"/>
    <mergeCell ref="E47:I47"/>
    <mergeCell ref="E50:I50"/>
    <mergeCell ref="E52:F52"/>
    <mergeCell ref="E53:F53"/>
    <mergeCell ref="E55:K55"/>
    <mergeCell ref="E58:J58"/>
    <mergeCell ref="E59:J59"/>
    <mergeCell ref="E67:K67"/>
    <mergeCell ref="J73:K73"/>
  </mergeCells>
  <phoneticPr fontId="4"/>
  <conditionalFormatting sqref="D18:K21 D55:K59">
    <cfRule type="expression" dxfId="64" priority="8">
      <formula>$D$16=$N$14</formula>
    </cfRule>
  </conditionalFormatting>
  <conditionalFormatting sqref="D51:K51">
    <cfRule type="expression" dxfId="63" priority="7">
      <formula>$C$51=$P$52</formula>
    </cfRule>
  </conditionalFormatting>
  <conditionalFormatting sqref="D52:K53">
    <cfRule type="expression" dxfId="62" priority="6">
      <formula>$C$51=$P$51</formula>
    </cfRule>
  </conditionalFormatting>
  <conditionalFormatting sqref="E25:E27">
    <cfRule type="expression" dxfId="61" priority="5">
      <formula>OR($N$25&gt;1,$N$25&lt;1)</formula>
    </cfRule>
  </conditionalFormatting>
  <conditionalFormatting sqref="F25">
    <cfRule type="expression" dxfId="60" priority="4">
      <formula>$E$25=0</formula>
    </cfRule>
  </conditionalFormatting>
  <conditionalFormatting sqref="F26:G26">
    <cfRule type="expression" dxfId="59" priority="3">
      <formula>$E$26=0</formula>
    </cfRule>
  </conditionalFormatting>
  <conditionalFormatting sqref="F27:G27">
    <cfRule type="expression" dxfId="58" priority="2">
      <formula>$E$27=0</formula>
    </cfRule>
  </conditionalFormatting>
  <conditionalFormatting sqref="G25">
    <cfRule type="expression" dxfId="57" priority="1">
      <formula>$E$25=0</formula>
    </cfRule>
  </conditionalFormatting>
  <conditionalFormatting sqref="H11">
    <cfRule type="cellIs" dxfId="56" priority="9" stopIfTrue="1" operator="equal">
      <formula>0</formula>
    </cfRule>
  </conditionalFormatting>
  <dataValidations count="10">
    <dataValidation type="list" allowBlank="1" showInputMessage="1" sqref="D18" xr:uid="{60CD120D-94AC-4C83-8C4D-A81CB86D8F66}">
      <formula1>$Q$19:$Q$21</formula1>
    </dataValidation>
    <dataValidation type="list" showInputMessage="1" showErrorMessage="1" sqref="E47 E50" xr:uid="{A92FF7F0-DB34-46F8-AEEA-39AA6797C1E0}">
      <formula1>$O$24:$O$27</formula1>
    </dataValidation>
    <dataValidation type="list" allowBlank="1" showInputMessage="1" showErrorMessage="1" sqref="C51" xr:uid="{3B2AA79A-E9DF-4798-83A3-295EC5BE0167}">
      <formula1>$P$51:$P$52</formula1>
    </dataValidation>
    <dataValidation allowBlank="1" showInputMessage="1" sqref="D46 D49" xr:uid="{4B8AB8DB-2C98-4FA4-8E92-CC2F496BACCF}"/>
    <dataValidation type="list" allowBlank="1" showInputMessage="1" showErrorMessage="1" sqref="F26" xr:uid="{0990D6E6-39F3-47A5-A97E-E9480134FB6A}">
      <formula1>$D$36:$D$39</formula1>
    </dataValidation>
    <dataValidation type="list" allowBlank="1" showInputMessage="1" showErrorMessage="1" sqref="F27" xr:uid="{B44659CD-C38A-4A1B-B8C5-C4CF03627E88}">
      <formula1>$D$41:$D$44</formula1>
    </dataValidation>
    <dataValidation type="list" allowBlank="1" showInputMessage="1" showErrorMessage="1" sqref="F25" xr:uid="{BEF7794B-FF82-42F5-A166-165A37DCD1C8}">
      <formula1>$D$29:$D$34</formula1>
    </dataValidation>
    <dataValidation type="list" allowBlank="1" showInputMessage="1" showErrorMessage="1" sqref="D8" xr:uid="{B480A800-A4ED-4901-927D-4BAD66BC8647}">
      <formula1>$N$2:$N$9</formula1>
    </dataValidation>
    <dataValidation type="list" allowBlank="1" showInputMessage="1" showErrorMessage="1" sqref="N12" xr:uid="{213E572E-F659-49E9-AD95-AE5E2436117B}">
      <formula1>$P$2:$P$12</formula1>
    </dataValidation>
    <dataValidation type="list" allowBlank="1" showInputMessage="1" showErrorMessage="1" sqref="D68:D70 J52:J53 D56:D59 H51:H53 F51 D16 J48 H48 F48" xr:uid="{03624742-6C4F-4B67-BD2B-84817C5F1F95}">
      <formula1>$N$14:$O$14</formula1>
    </dataValidation>
  </dataValidations>
  <pageMargins left="0.7" right="0.7" top="0.75" bottom="0.75" header="0.3" footer="0.3"/>
  <pageSetup paperSize="9" scale="83"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autoPageBreaks="0" fitToPage="1"/>
  </sheetPr>
  <dimension ref="A1:IU522"/>
  <sheetViews>
    <sheetView showGridLines="0" topLeftCell="A53" zoomScaleNormal="100" workbookViewId="0">
      <selection activeCell="D75" sqref="D75"/>
    </sheetView>
  </sheetViews>
  <sheetFormatPr defaultColWidth="0" defaultRowHeight="15.6" zeroHeight="1"/>
  <cols>
    <col min="1" max="1" width="1.21875" style="4" customWidth="1"/>
    <col min="2" max="2" width="4.6640625" style="477" customWidth="1"/>
    <col min="3" max="3" width="1.44140625" style="4" customWidth="1"/>
    <col min="4" max="13" width="11.6640625" style="4" customWidth="1"/>
    <col min="14" max="14" width="1.6640625" style="4" customWidth="1"/>
    <col min="15" max="15" width="3.77734375" style="4" hidden="1" customWidth="1"/>
    <col min="16" max="16" width="8" style="4" hidden="1" customWidth="1"/>
    <col min="17" max="255" width="9" style="4" hidden="1" customWidth="1"/>
    <col min="256" max="16384" width="1.88671875" style="4" hidden="1"/>
  </cols>
  <sheetData>
    <row r="1" spans="1:25" s="29" customFormat="1" ht="22.5" customHeight="1">
      <c r="A1" s="19"/>
      <c r="B1" s="137"/>
      <c r="C1" s="22"/>
      <c r="D1" s="129"/>
      <c r="E1" s="19"/>
      <c r="F1" s="19"/>
      <c r="G1" s="19"/>
      <c r="H1" s="19"/>
      <c r="I1" s="19"/>
      <c r="J1" s="19"/>
      <c r="K1" s="861" t="s">
        <v>362</v>
      </c>
      <c r="L1" s="862" t="str">
        <f>IF(メイン!$C$10="","",メイン!$C$10)</f>
        <v>あおもりGX</v>
      </c>
      <c r="M1" s="863"/>
      <c r="N1" s="22"/>
      <c r="O1" s="121"/>
      <c r="P1" s="121"/>
      <c r="Q1" s="121"/>
    </row>
    <row r="2" spans="1:25" s="29" customFormat="1" ht="9" customHeight="1" thickBot="1">
      <c r="A2" s="19"/>
      <c r="B2" s="137"/>
      <c r="C2" s="22"/>
      <c r="D2" s="129"/>
      <c r="E2" s="19"/>
      <c r="F2" s="19"/>
      <c r="G2" s="19"/>
      <c r="H2" s="19"/>
      <c r="I2" s="19"/>
      <c r="J2" s="19"/>
      <c r="K2" s="860"/>
      <c r="L2" s="317"/>
      <c r="M2" s="19"/>
      <c r="N2" s="22"/>
      <c r="O2" s="121"/>
      <c r="P2" s="121"/>
      <c r="Q2" s="121"/>
    </row>
    <row r="3" spans="1:25" s="284" customFormat="1" ht="21.6" thickBot="1">
      <c r="A3" s="3"/>
      <c r="B3" s="262" t="s">
        <v>949</v>
      </c>
      <c r="C3" s="126"/>
      <c r="D3" s="44"/>
      <c r="E3" s="19"/>
      <c r="F3" s="44"/>
      <c r="G3"/>
      <c r="H3" s="124"/>
      <c r="I3" s="41" t="s">
        <v>66</v>
      </c>
      <c r="J3" s="7"/>
      <c r="K3"/>
      <c r="L3" s="21"/>
      <c r="M3" s="332" t="str">
        <f>IF(メイン!E32=0,"",メイン!E32)</f>
        <v/>
      </c>
      <c r="P3" s="275" t="s">
        <v>88</v>
      </c>
      <c r="Q3" s="29"/>
      <c r="R3" s="283">
        <v>0</v>
      </c>
      <c r="S3" s="35"/>
      <c r="T3" s="278"/>
      <c r="U3" s="278"/>
      <c r="V3" s="278" t="str">
        <f>メイン!O32</f>
        <v>基本設計段階</v>
      </c>
      <c r="W3" s="113"/>
      <c r="X3" s="113"/>
    </row>
    <row r="4" spans="1:25" s="284" customFormat="1" ht="3.75" customHeight="1">
      <c r="A4" s="3"/>
      <c r="B4" s="475"/>
      <c r="C4" s="126"/>
      <c r="D4" s="44"/>
      <c r="E4" s="19"/>
      <c r="F4" s="44"/>
      <c r="G4" s="44"/>
      <c r="H4" s="44"/>
      <c r="I4" s="44"/>
      <c r="J4" s="44"/>
      <c r="K4" s="21"/>
      <c r="L4" s="44"/>
      <c r="M4" s="44"/>
      <c r="N4" s="350"/>
      <c r="O4" s="350"/>
      <c r="P4" s="29"/>
      <c r="Q4" s="29"/>
      <c r="R4" s="283">
        <v>1</v>
      </c>
      <c r="S4" s="35"/>
      <c r="T4" s="278" t="s">
        <v>89</v>
      </c>
      <c r="U4" s="278" t="s">
        <v>90</v>
      </c>
      <c r="V4" s="278" t="str">
        <f>メイン!O33</f>
        <v>実施設計段階</v>
      </c>
      <c r="W4" s="113"/>
      <c r="X4" s="113"/>
    </row>
    <row r="5" spans="1:25">
      <c r="A5" s="2"/>
      <c r="B5" s="513">
        <v>1</v>
      </c>
      <c r="C5" s="23" t="s">
        <v>576</v>
      </c>
      <c r="D5" s="2652"/>
      <c r="N5" s="284"/>
      <c r="O5" s="284"/>
      <c r="P5" s="284"/>
      <c r="Q5" s="29"/>
      <c r="S5" s="264"/>
      <c r="T5" s="113"/>
      <c r="U5" s="113"/>
      <c r="V5" s="113"/>
      <c r="W5" s="113"/>
      <c r="X5" s="113"/>
      <c r="Y5" s="113"/>
    </row>
    <row r="6" spans="1:25">
      <c r="A6" s="2"/>
      <c r="B6" s="513">
        <v>1.1000000000000001</v>
      </c>
      <c r="C6" s="23" t="s">
        <v>261</v>
      </c>
      <c r="D6" s="2652"/>
      <c r="N6" s="284"/>
      <c r="O6" s="284"/>
      <c r="P6" s="284"/>
      <c r="Q6" s="29"/>
      <c r="S6" s="264"/>
      <c r="T6" s="113"/>
      <c r="U6" s="113"/>
      <c r="V6" s="113"/>
      <c r="W6" s="113"/>
      <c r="X6" s="113"/>
      <c r="Y6" s="113"/>
    </row>
    <row r="7" spans="1:25" ht="16.2" thickBot="1">
      <c r="A7" s="2"/>
      <c r="B7" s="476"/>
      <c r="D7" s="129"/>
      <c r="E7" s="129"/>
      <c r="F7" s="19"/>
      <c r="G7" s="441"/>
      <c r="H7" s="19"/>
      <c r="I7" s="19"/>
      <c r="J7" s="19"/>
      <c r="K7" s="22"/>
      <c r="L7" s="148" t="s">
        <v>2</v>
      </c>
      <c r="M7" s="328">
        <f>重み!M97</f>
        <v>0.33333333333333331</v>
      </c>
      <c r="N7" s="284"/>
      <c r="O7" s="284">
        <f t="shared" ref="O7:V7" si="0">C7</f>
        <v>0</v>
      </c>
      <c r="P7" s="284">
        <f t="shared" si="0"/>
        <v>0</v>
      </c>
      <c r="Q7" s="284">
        <f t="shared" si="0"/>
        <v>0</v>
      </c>
      <c r="R7" s="284">
        <f t="shared" si="0"/>
        <v>0</v>
      </c>
      <c r="S7" s="284">
        <f t="shared" si="0"/>
        <v>0</v>
      </c>
      <c r="T7" s="284">
        <f t="shared" si="0"/>
        <v>0</v>
      </c>
      <c r="U7" s="284">
        <f t="shared" si="0"/>
        <v>0</v>
      </c>
      <c r="V7" s="284">
        <f t="shared" si="0"/>
        <v>0</v>
      </c>
      <c r="W7" s="284" t="str">
        <f>L7</f>
        <v>重み係数＝</v>
      </c>
      <c r="X7" s="284">
        <f>M7</f>
        <v>0.33333333333333331</v>
      </c>
      <c r="Y7" s="113"/>
    </row>
    <row r="8" spans="1:25" ht="16.2" thickBot="1">
      <c r="A8" s="2"/>
      <c r="B8" s="475"/>
      <c r="C8" s="137"/>
      <c r="D8" s="282">
        <f>M16</f>
        <v>4</v>
      </c>
      <c r="E8" s="2934" t="s">
        <v>415</v>
      </c>
      <c r="F8" s="2935"/>
      <c r="G8" s="2935"/>
      <c r="H8" s="2935"/>
      <c r="I8" s="2935"/>
      <c r="J8" s="2935"/>
      <c r="K8" s="2935"/>
      <c r="L8" s="2935"/>
      <c r="M8" s="2936"/>
      <c r="N8" s="284"/>
      <c r="O8" s="284"/>
      <c r="P8" s="284"/>
      <c r="Q8" s="284"/>
      <c r="R8" s="284"/>
      <c r="S8" s="284"/>
      <c r="T8" s="113"/>
      <c r="U8" s="113"/>
      <c r="V8" s="113"/>
      <c r="W8" s="113"/>
      <c r="X8" s="113"/>
      <c r="Y8" s="113"/>
    </row>
    <row r="9" spans="1:25" ht="20.25" customHeight="1">
      <c r="A9" s="2"/>
      <c r="B9" s="475"/>
      <c r="C9" s="137"/>
      <c r="D9" s="3040" t="s">
        <v>262</v>
      </c>
      <c r="E9" s="2943" t="s">
        <v>2163</v>
      </c>
      <c r="F9" s="2966"/>
      <c r="G9" s="2966"/>
      <c r="H9" s="2966"/>
      <c r="I9" s="2966"/>
      <c r="J9" s="2966"/>
      <c r="K9" s="2966"/>
      <c r="L9" s="2966"/>
      <c r="M9" s="2944"/>
      <c r="N9" s="284"/>
      <c r="O9" s="284"/>
      <c r="P9" s="337">
        <f>$Q$85</f>
        <v>1</v>
      </c>
      <c r="Q9" s="276">
        <v>1</v>
      </c>
      <c r="R9" s="279" t="s">
        <v>486</v>
      </c>
      <c r="S9" s="277" t="s">
        <v>82</v>
      </c>
      <c r="T9" s="113"/>
      <c r="U9" s="337">
        <f>$Q$85</f>
        <v>1</v>
      </c>
      <c r="V9" s="113"/>
      <c r="W9" s="113"/>
      <c r="X9" s="113"/>
      <c r="Y9" s="113"/>
    </row>
    <row r="10" spans="1:25" ht="20.25" customHeight="1">
      <c r="A10" s="2"/>
      <c r="B10" s="475"/>
      <c r="C10" s="137"/>
      <c r="D10" s="3106"/>
      <c r="E10" s="2945"/>
      <c r="F10" s="3046"/>
      <c r="G10" s="3046"/>
      <c r="H10" s="3046"/>
      <c r="I10" s="3046"/>
      <c r="J10" s="3046"/>
      <c r="K10" s="3046"/>
      <c r="L10" s="3046"/>
      <c r="M10" s="2946"/>
      <c r="N10" s="284"/>
      <c r="O10" s="284"/>
      <c r="P10" s="337">
        <v>2</v>
      </c>
      <c r="Q10" s="276">
        <v>2</v>
      </c>
      <c r="R10" s="279" t="s">
        <v>487</v>
      </c>
      <c r="S10" s="277" t="s">
        <v>83</v>
      </c>
      <c r="T10" s="113"/>
      <c r="U10" s="337">
        <f>$Q$86</f>
        <v>2</v>
      </c>
      <c r="V10" s="113"/>
      <c r="W10" s="113"/>
      <c r="X10" s="113"/>
      <c r="Y10" s="113"/>
    </row>
    <row r="11" spans="1:25" ht="20.25" customHeight="1">
      <c r="A11" s="2"/>
      <c r="B11" s="475"/>
      <c r="C11" s="137"/>
      <c r="D11" s="3106"/>
      <c r="E11" s="2945"/>
      <c r="F11" s="3046"/>
      <c r="G11" s="3046"/>
      <c r="H11" s="3046"/>
      <c r="I11" s="3046"/>
      <c r="J11" s="3046"/>
      <c r="K11" s="3046"/>
      <c r="L11" s="3046"/>
      <c r="M11" s="2946"/>
      <c r="N11" s="284"/>
      <c r="O11" s="284"/>
      <c r="P11" s="337">
        <f>$Q$87</f>
        <v>3</v>
      </c>
      <c r="Q11" s="276">
        <v>3</v>
      </c>
      <c r="R11" s="279" t="s">
        <v>488</v>
      </c>
      <c r="S11" s="277" t="s">
        <v>84</v>
      </c>
      <c r="T11" s="113"/>
      <c r="U11" s="337">
        <f>$Q$87</f>
        <v>3</v>
      </c>
      <c r="V11" s="113"/>
      <c r="W11" s="113"/>
      <c r="X11" s="113"/>
      <c r="Y11" s="113"/>
    </row>
    <row r="12" spans="1:25" ht="20.25" customHeight="1">
      <c r="A12" s="2"/>
      <c r="B12" s="475"/>
      <c r="C12" s="137"/>
      <c r="D12" s="3106"/>
      <c r="E12" s="2945"/>
      <c r="F12" s="3046"/>
      <c r="G12" s="3046"/>
      <c r="H12" s="3046"/>
      <c r="I12" s="3046"/>
      <c r="J12" s="3046"/>
      <c r="K12" s="3046"/>
      <c r="L12" s="3046"/>
      <c r="M12" s="2946"/>
      <c r="N12" s="284"/>
      <c r="O12" s="284"/>
      <c r="P12" s="337">
        <f>$Q$88</f>
        <v>4</v>
      </c>
      <c r="Q12" s="276">
        <v>4</v>
      </c>
      <c r="R12" s="279" t="s">
        <v>489</v>
      </c>
      <c r="S12" s="277" t="s">
        <v>85</v>
      </c>
      <c r="T12" s="113"/>
      <c r="U12" s="337">
        <f>$Q$88</f>
        <v>4</v>
      </c>
      <c r="V12" s="113"/>
      <c r="W12" s="113"/>
      <c r="X12" s="113"/>
      <c r="Y12" s="113"/>
    </row>
    <row r="13" spans="1:25" ht="20.25" customHeight="1">
      <c r="A13" s="2"/>
      <c r="B13" s="475"/>
      <c r="C13" s="137"/>
      <c r="D13" s="3107"/>
      <c r="E13" s="2947"/>
      <c r="F13" s="2970"/>
      <c r="G13" s="2970"/>
      <c r="H13" s="2970"/>
      <c r="I13" s="2970"/>
      <c r="J13" s="2970"/>
      <c r="K13" s="2970"/>
      <c r="L13" s="2970"/>
      <c r="M13" s="2948"/>
      <c r="N13" s="284"/>
      <c r="O13" s="284"/>
      <c r="P13" s="337">
        <f>$Q$89</f>
        <v>5</v>
      </c>
      <c r="Q13" s="276">
        <v>5</v>
      </c>
      <c r="R13" s="279" t="s">
        <v>490</v>
      </c>
      <c r="S13" s="277" t="s">
        <v>86</v>
      </c>
      <c r="T13" s="113"/>
      <c r="U13" s="337">
        <f>$Q$89</f>
        <v>5</v>
      </c>
      <c r="V13" s="113"/>
      <c r="W13" s="113"/>
      <c r="X13" s="113"/>
      <c r="Y13" s="113"/>
    </row>
    <row r="14" spans="1:25" ht="16.5" customHeight="1">
      <c r="A14" s="2"/>
      <c r="B14" s="475"/>
      <c r="C14" s="137"/>
      <c r="D14" s="29"/>
      <c r="E14" s="354" t="s">
        <v>700</v>
      </c>
      <c r="F14" s="29"/>
      <c r="G14" s="29"/>
      <c r="I14" s="4" t="s">
        <v>474</v>
      </c>
      <c r="N14" s="284"/>
      <c r="O14" s="284"/>
      <c r="P14" s="337" t="s">
        <v>68</v>
      </c>
      <c r="Q14" s="284" t="s">
        <v>87</v>
      </c>
      <c r="T14" s="113"/>
      <c r="U14" s="337" t="str">
        <f>$Q$90</f>
        <v>対象外</v>
      </c>
      <c r="V14" s="113"/>
      <c r="W14" s="113"/>
      <c r="X14" s="113"/>
      <c r="Y14" s="113"/>
    </row>
    <row r="15" spans="1:25" ht="16.5" customHeight="1" thickBot="1">
      <c r="A15" s="2"/>
      <c r="B15" s="475"/>
      <c r="C15" s="137"/>
      <c r="E15" s="854"/>
      <c r="F15" s="855" t="s">
        <v>130</v>
      </c>
      <c r="G15" s="856" t="s">
        <v>297</v>
      </c>
      <c r="H15" s="857" t="s">
        <v>131</v>
      </c>
      <c r="I15" s="855" t="s">
        <v>63</v>
      </c>
      <c r="J15" s="854" t="s">
        <v>697</v>
      </c>
      <c r="M15" s="827" t="s">
        <v>701</v>
      </c>
      <c r="O15" s="284"/>
      <c r="P15" s="284"/>
      <c r="Q15" s="284"/>
      <c r="R15" s="284"/>
      <c r="S15" s="284"/>
      <c r="T15" s="284"/>
      <c r="U15" s="284"/>
      <c r="V15" s="284"/>
      <c r="W15" s="113"/>
      <c r="X15" s="113"/>
      <c r="Y15" s="113"/>
    </row>
    <row r="16" spans="1:25" ht="16.5" customHeight="1" thickBot="1">
      <c r="A16" s="2"/>
      <c r="B16" s="475"/>
      <c r="C16" s="137"/>
      <c r="E16" s="853" t="s">
        <v>225</v>
      </c>
      <c r="F16" s="902">
        <f>CO2計算!P89</f>
        <v>9.52</v>
      </c>
      <c r="G16" s="902">
        <f>CO2計算!P90</f>
        <v>2.83</v>
      </c>
      <c r="H16" s="902">
        <f>CO2計算!P91</f>
        <v>38.802961218453483</v>
      </c>
      <c r="I16" s="903">
        <f>CO2計算!P92</f>
        <v>51.152961218453484</v>
      </c>
      <c r="J16" s="904">
        <v>1</v>
      </c>
      <c r="L16" s="507" t="s">
        <v>796</v>
      </c>
      <c r="M16" s="906">
        <f>ROUNDDOWN(IF(J17=P25,0,P16),1)</f>
        <v>4</v>
      </c>
      <c r="O16" s="284"/>
      <c r="P16" s="2161">
        <f>IF(OR(M7=0,Q17=""),0,IF(Q17&lt;=Q23,P23,IF(Q17&gt;=Q19,P19,Q17*R17+S17)))</f>
        <v>4.0747150587810967</v>
      </c>
      <c r="Q16" t="s">
        <v>1715</v>
      </c>
      <c r="R16"/>
      <c r="S16"/>
      <c r="U16" s="284"/>
      <c r="V16" s="284"/>
      <c r="W16" s="113"/>
      <c r="X16" s="113"/>
      <c r="Y16" s="113"/>
    </row>
    <row r="17" spans="1:25" ht="16.5" customHeight="1">
      <c r="A17" s="2"/>
      <c r="B17" s="475"/>
      <c r="C17" s="137"/>
      <c r="E17" s="853" t="s">
        <v>420</v>
      </c>
      <c r="F17" s="902">
        <f>CO2計算!M89</f>
        <v>2.7896000000000001</v>
      </c>
      <c r="G17" s="902">
        <f>CO2計算!M90</f>
        <v>4.75</v>
      </c>
      <c r="H17" s="902">
        <f>CO2計算!M91</f>
        <v>29.86964678777413</v>
      </c>
      <c r="I17" s="903">
        <f>CO2計算!M92</f>
        <v>37.40924678777413</v>
      </c>
      <c r="J17" s="905">
        <f>IF(OR(I16=P25,I16=0),P25,I17/I16)</f>
        <v>0.7313212353047257</v>
      </c>
      <c r="O17" s="284"/>
      <c r="P17" s="2159">
        <f>IF(Q17&lt;=Q23,P23,IF(Q17&lt;=Q22,P22,IF(Q17&lt;=Q21,P21,IF(Q17&lt;=Q20,P20,P19))))</f>
        <v>4</v>
      </c>
      <c r="Q17">
        <f>IF(I16=0,"",I17/I16)</f>
        <v>0.7313212353047257</v>
      </c>
      <c r="R17">
        <f>VLOOKUP(P17,P19:S23,3)</f>
        <v>-4</v>
      </c>
      <c r="S17">
        <f>VLOOKUP(P17,P19:S23,4)</f>
        <v>7</v>
      </c>
      <c r="U17" s="284"/>
      <c r="V17" s="284"/>
      <c r="W17" s="113"/>
      <c r="X17" s="113"/>
      <c r="Y17" s="113"/>
    </row>
    <row r="18" spans="1:25" ht="16.2" thickBot="1">
      <c r="A18" s="2"/>
      <c r="B18" s="475"/>
      <c r="C18" s="137"/>
      <c r="D18" s="354" t="s">
        <v>1080</v>
      </c>
      <c r="N18" s="284"/>
      <c r="O18" s="284"/>
      <c r="P18" s="826" t="s">
        <v>401</v>
      </c>
      <c r="Q18" s="826" t="s">
        <v>1714</v>
      </c>
      <c r="R18" t="s">
        <v>1712</v>
      </c>
      <c r="S18" t="s">
        <v>1713</v>
      </c>
      <c r="U18" s="284"/>
      <c r="V18" s="284"/>
      <c r="W18" s="113"/>
      <c r="X18" s="113"/>
      <c r="Y18" s="113"/>
    </row>
    <row r="19" spans="1:25" ht="20.25" customHeight="1" thickBot="1">
      <c r="A19" s="2"/>
      <c r="B19" s="478"/>
      <c r="C19" s="268"/>
      <c r="D19" s="4" t="str">
        <f>判定!C25</f>
        <v>■木質系</v>
      </c>
      <c r="E19" s="1439" t="s">
        <v>779</v>
      </c>
      <c r="F19" s="1585" t="s">
        <v>1133</v>
      </c>
      <c r="G19" s="1586"/>
      <c r="H19" s="1586"/>
      <c r="I19" s="1587"/>
      <c r="J19" s="1531" t="str">
        <f>判定!J28</f>
        <v>削減率</v>
      </c>
      <c r="L19" s="1531" t="s">
        <v>2097</v>
      </c>
      <c r="M19"/>
      <c r="N19" s="284"/>
      <c r="O19" s="284"/>
      <c r="P19" s="826">
        <v>1</v>
      </c>
      <c r="Q19" s="2402">
        <v>1.25</v>
      </c>
      <c r="R19">
        <f>(P20-P19)/(Q20-Q19)</f>
        <v>-8</v>
      </c>
      <c r="S19">
        <f>P20-R19*Q20</f>
        <v>11</v>
      </c>
      <c r="U19" s="1531" t="s">
        <v>1925</v>
      </c>
      <c r="V19" s="284"/>
      <c r="W19" s="113"/>
      <c r="X19" s="113"/>
      <c r="Y19" s="113"/>
    </row>
    <row r="20" spans="1:25" ht="20.25" customHeight="1">
      <c r="A20" s="2"/>
      <c r="B20" s="478"/>
      <c r="C20" s="268"/>
      <c r="E20" s="1421" t="str">
        <f>判定!D29</f>
        <v>①</v>
      </c>
      <c r="F20" s="1424" t="str">
        <f>判定!E29</f>
        <v>基礎用コンクリートに高炉セメントB種を使用</v>
      </c>
      <c r="G20" s="1419"/>
      <c r="H20" s="1419"/>
      <c r="I20" s="1425"/>
      <c r="J20" s="2716">
        <f>IF(メイン!$C$11=メイン!$I$10,L20,M20)</f>
        <v>0.03</v>
      </c>
      <c r="L20" s="2716">
        <f>判定!J29</f>
        <v>0.03</v>
      </c>
      <c r="M20"/>
      <c r="N20" s="284"/>
      <c r="O20" s="284"/>
      <c r="P20" s="826">
        <v>2</v>
      </c>
      <c r="Q20" s="2402">
        <v>1.125</v>
      </c>
      <c r="R20">
        <f>(P21-P20)/(Q21-Q20)</f>
        <v>-8</v>
      </c>
      <c r="S20">
        <f>P21-R20*Q21</f>
        <v>11</v>
      </c>
      <c r="U20" s="2558">
        <v>0.02</v>
      </c>
      <c r="V20" s="284"/>
      <c r="W20" s="113"/>
      <c r="X20" s="113"/>
      <c r="Y20" s="113"/>
    </row>
    <row r="21" spans="1:25" ht="30" customHeight="1">
      <c r="A21" s="2"/>
      <c r="B21" s="478"/>
      <c r="C21" s="268"/>
      <c r="E21" s="1422" t="str">
        <f>判定!D30</f>
        <v>②</v>
      </c>
      <c r="F21" s="3108" t="str">
        <f>判定!E30</f>
        <v>構造用木材の過半にバイオマス乾燥木材または天然乾燥木材を採用</v>
      </c>
      <c r="G21" s="3109"/>
      <c r="H21" s="3109"/>
      <c r="I21" s="3110"/>
      <c r="J21" s="2716">
        <f>IF(メイン!$C$11=メイン!$I$10,L21,M21)</f>
        <v>0.06</v>
      </c>
      <c r="L21" s="2716">
        <f>判定!J30</f>
        <v>0.06</v>
      </c>
      <c r="M21"/>
      <c r="N21" s="284"/>
      <c r="O21" s="284"/>
      <c r="P21" s="826">
        <v>3</v>
      </c>
      <c r="Q21" s="2402">
        <v>1</v>
      </c>
      <c r="R21">
        <f>(P22-P21)/(Q22-Q21)</f>
        <v>-4</v>
      </c>
      <c r="S21">
        <f>P22-R21*Q22</f>
        <v>7</v>
      </c>
      <c r="U21" s="2558">
        <v>0.01</v>
      </c>
      <c r="V21" s="284"/>
      <c r="W21" s="113"/>
      <c r="X21" s="113"/>
      <c r="Y21" s="113"/>
    </row>
    <row r="22" spans="1:25" ht="30" customHeight="1">
      <c r="A22" s="2"/>
      <c r="B22" s="478"/>
      <c r="C22" s="268"/>
      <c r="E22" s="1422" t="str">
        <f>判定!D31</f>
        <v>③</v>
      </c>
      <c r="F22" s="3111" t="str">
        <f>判定!E31</f>
        <v>構造用木材の概ね全てにバイオマス乾燥木材または天然乾燥木材を採用</v>
      </c>
      <c r="G22" s="3112"/>
      <c r="H22" s="3112"/>
      <c r="I22" s="3113"/>
      <c r="J22" s="2716">
        <f>IF(メイン!$C$11=メイン!$I$10,L22,M22)</f>
        <v>0.12</v>
      </c>
      <c r="L22" s="2716">
        <f>判定!J31</f>
        <v>0.12</v>
      </c>
      <c r="M22"/>
      <c r="N22" s="284"/>
      <c r="O22" s="284"/>
      <c r="P22" s="826">
        <v>4</v>
      </c>
      <c r="Q22" s="2402">
        <v>0.75</v>
      </c>
      <c r="R22">
        <f>(P23-P22)/(Q23-Q22)</f>
        <v>-4</v>
      </c>
      <c r="S22">
        <f>P23-R22*Q23</f>
        <v>7</v>
      </c>
      <c r="U22" s="2558">
        <v>0.02</v>
      </c>
      <c r="V22" s="284"/>
      <c r="W22" s="113"/>
      <c r="X22" s="113"/>
      <c r="Y22" s="113"/>
    </row>
    <row r="23" spans="1:25" ht="20.25" customHeight="1">
      <c r="A23" s="2"/>
      <c r="B23" s="478"/>
      <c r="C23" s="268"/>
      <c r="E23" s="1422" t="str">
        <f>判定!D32</f>
        <v>④</v>
      </c>
      <c r="F23" s="1424" t="str">
        <f>判定!E32</f>
        <v>①＋②の場合</v>
      </c>
      <c r="G23" s="1420"/>
      <c r="H23" s="1420"/>
      <c r="I23" s="1427"/>
      <c r="J23" s="2716">
        <f>IF(メイン!$C$11=メイン!$I$10,L23,M23)</f>
        <v>0.09</v>
      </c>
      <c r="L23" s="2716">
        <f>判定!J32</f>
        <v>0.09</v>
      </c>
      <c r="M23"/>
      <c r="N23" s="284"/>
      <c r="O23" s="284"/>
      <c r="P23" s="826">
        <v>5</v>
      </c>
      <c r="Q23" s="2402">
        <v>0.5</v>
      </c>
      <c r="R23"/>
      <c r="S23"/>
      <c r="U23" s="2558">
        <v>0.03</v>
      </c>
      <c r="V23" s="284"/>
      <c r="W23" s="113"/>
      <c r="X23" s="113"/>
      <c r="Y23" s="113"/>
    </row>
    <row r="24" spans="1:25" ht="20.25" customHeight="1">
      <c r="A24" s="2"/>
      <c r="B24" s="478"/>
      <c r="C24" s="268"/>
      <c r="E24" s="1422" t="str">
        <f>判定!D33</f>
        <v>⑤</v>
      </c>
      <c r="F24" s="1424" t="str">
        <f>判定!E33</f>
        <v>①＋③の場合</v>
      </c>
      <c r="G24" s="1420"/>
      <c r="H24" s="1420"/>
      <c r="I24" s="1427"/>
      <c r="J24" s="2716">
        <f>IF(メイン!$C$11=メイン!$I$10,L24,M24)</f>
        <v>0.15</v>
      </c>
      <c r="L24" s="2716">
        <f>判定!J33</f>
        <v>0.15</v>
      </c>
      <c r="M24"/>
      <c r="N24" s="284"/>
      <c r="O24" s="284"/>
      <c r="Q24" s="284"/>
      <c r="R24" s="284"/>
      <c r="U24" s="2558">
        <v>0.04</v>
      </c>
      <c r="V24" s="284"/>
      <c r="W24" s="113"/>
      <c r="X24" s="113"/>
      <c r="Y24" s="113"/>
    </row>
    <row r="25" spans="1:25" ht="20.25" customHeight="1">
      <c r="A25" s="2"/>
      <c r="B25" s="478"/>
      <c r="C25" s="268"/>
      <c r="E25" s="1423"/>
      <c r="F25" s="2457" t="str">
        <f>判定!E34</f>
        <v>上記のいずれも採用していない</v>
      </c>
      <c r="G25" s="1428"/>
      <c r="H25" s="1428"/>
      <c r="I25" s="1429"/>
      <c r="J25" s="2717">
        <f>IF(メイン!$C$11=メイン!$I$10,L25,M25)</f>
        <v>0</v>
      </c>
      <c r="L25" s="2717">
        <f>判定!J34</f>
        <v>0</v>
      </c>
      <c r="M25"/>
      <c r="N25" s="284"/>
      <c r="O25" s="284"/>
      <c r="P25" s="4" t="s">
        <v>166</v>
      </c>
      <c r="Q25" s="284"/>
      <c r="R25" s="284"/>
      <c r="U25" s="2559">
        <v>0</v>
      </c>
      <c r="V25" s="284"/>
      <c r="W25" s="113"/>
      <c r="X25" s="113"/>
      <c r="Y25" s="113"/>
    </row>
    <row r="26" spans="1:25" ht="6" customHeight="1" thickBot="1">
      <c r="A26" s="2"/>
      <c r="B26" s="478"/>
      <c r="C26" s="478"/>
      <c r="D26" s="478"/>
      <c r="E26" s="478"/>
      <c r="F26" s="478"/>
      <c r="G26" s="478"/>
      <c r="H26" s="478"/>
      <c r="I26" s="478"/>
      <c r="J26" s="478"/>
      <c r="K26" s="478"/>
      <c r="L26" s="478"/>
      <c r="M26"/>
      <c r="N26" s="284"/>
      <c r="O26" s="284"/>
      <c r="Q26" s="284"/>
      <c r="R26" s="284"/>
      <c r="V26" s="284"/>
      <c r="W26" s="113"/>
      <c r="X26" s="113"/>
      <c r="Y26" s="113"/>
    </row>
    <row r="27" spans="1:25" ht="20.25" customHeight="1" thickBot="1">
      <c r="A27" s="2"/>
      <c r="B27" s="478"/>
      <c r="C27" s="268"/>
      <c r="D27" s="4" t="str">
        <f>判定!C26</f>
        <v>■鉄骨系</v>
      </c>
      <c r="E27" s="1439"/>
      <c r="F27" s="1585" t="s">
        <v>1133</v>
      </c>
      <c r="G27" s="1586"/>
      <c r="H27" s="1586"/>
      <c r="I27" s="1587"/>
      <c r="J27" s="2718" t="str">
        <f>判定!J35</f>
        <v>削減率</v>
      </c>
      <c r="L27" s="1531" t="s">
        <v>2097</v>
      </c>
      <c r="M27"/>
      <c r="N27" s="284"/>
      <c r="O27" s="284"/>
      <c r="Q27" s="284"/>
      <c r="R27" s="284"/>
      <c r="U27" s="1531" t="s">
        <v>1925</v>
      </c>
      <c r="V27" s="284"/>
      <c r="W27" s="113"/>
      <c r="X27" s="113"/>
      <c r="Y27" s="113"/>
    </row>
    <row r="28" spans="1:25" ht="20.25" customHeight="1">
      <c r="A28" s="2"/>
      <c r="B28" s="478"/>
      <c r="C28" s="268"/>
      <c r="E28" s="1421" t="str">
        <f>判定!D36</f>
        <v>①</v>
      </c>
      <c r="F28" s="1424" t="str">
        <f>判定!E36</f>
        <v>軽量鉄骨造の場合</v>
      </c>
      <c r="G28" s="1419"/>
      <c r="H28" s="1419"/>
      <c r="I28" s="1425"/>
      <c r="J28" s="2716">
        <f>IF(メイン!$C$11=メイン!$I$10,L28,M28)</f>
        <v>0.09</v>
      </c>
      <c r="L28" s="2716">
        <f>判定!J36</f>
        <v>0.09</v>
      </c>
      <c r="M28"/>
      <c r="N28" s="284"/>
      <c r="O28" s="284"/>
      <c r="Q28" s="284"/>
      <c r="R28" s="284"/>
      <c r="U28" s="2558">
        <v>0.09</v>
      </c>
      <c r="V28" s="284"/>
      <c r="W28" s="113"/>
      <c r="X28" s="113"/>
      <c r="Y28" s="113"/>
    </row>
    <row r="29" spans="1:25" ht="20.25" customHeight="1">
      <c r="A29" s="2"/>
      <c r="B29" s="478"/>
      <c r="C29" s="268"/>
      <c r="E29" s="1422" t="str">
        <f>判定!D37</f>
        <v>②</v>
      </c>
      <c r="F29" s="1426" t="str">
        <f>判定!E37</f>
        <v>基礎用コンクリートに高炉セメントB種を使用</v>
      </c>
      <c r="G29" s="1420"/>
      <c r="H29" s="1420"/>
      <c r="I29" s="1427"/>
      <c r="J29" s="2716">
        <f>IF(メイン!$C$11=メイン!$I$10,L29,M29)</f>
        <v>0.04</v>
      </c>
      <c r="L29" s="2716">
        <f>判定!J37</f>
        <v>0.04</v>
      </c>
      <c r="M29"/>
      <c r="N29" s="284"/>
      <c r="O29" s="284"/>
      <c r="Q29" s="284"/>
      <c r="R29" s="284"/>
      <c r="U29" s="2558">
        <v>0.02</v>
      </c>
      <c r="V29" s="284"/>
      <c r="W29" s="113"/>
      <c r="X29" s="113"/>
      <c r="Y29" s="113"/>
    </row>
    <row r="30" spans="1:25" ht="20.25" customHeight="1">
      <c r="A30" s="2"/>
      <c r="B30" s="478"/>
      <c r="C30" s="268"/>
      <c r="E30" s="1422" t="str">
        <f>判定!D38</f>
        <v>③</v>
      </c>
      <c r="F30" s="1426" t="str">
        <f>判定!E38</f>
        <v>①＋②の場合</v>
      </c>
      <c r="G30" s="1420"/>
      <c r="H30" s="1420"/>
      <c r="I30" s="1427"/>
      <c r="J30" s="2716">
        <f>IF(メイン!$C$11=メイン!$I$10,L30,M30)</f>
        <v>0.13</v>
      </c>
      <c r="L30" s="2716">
        <f>判定!J38</f>
        <v>0.13</v>
      </c>
      <c r="M30"/>
      <c r="N30" s="284"/>
      <c r="O30" s="284"/>
      <c r="Q30" s="284"/>
      <c r="R30" s="284"/>
      <c r="U30" s="2558">
        <v>0.11</v>
      </c>
      <c r="V30" s="284"/>
      <c r="W30" s="113"/>
      <c r="X30" s="113"/>
      <c r="Y30" s="113"/>
    </row>
    <row r="31" spans="1:25" ht="20.25" customHeight="1">
      <c r="A31" s="2"/>
      <c r="B31" s="478"/>
      <c r="C31" s="268"/>
      <c r="E31" s="1423"/>
      <c r="F31" s="2458" t="str">
        <f>判定!E39</f>
        <v>上記のいずれも採用していない</v>
      </c>
      <c r="G31" s="1428"/>
      <c r="H31" s="1428"/>
      <c r="I31" s="1429"/>
      <c r="J31" s="2717">
        <f>IF(メイン!$C$11=メイン!$I$10,L31,M31)</f>
        <v>0</v>
      </c>
      <c r="L31" s="2717">
        <f>判定!J39</f>
        <v>0</v>
      </c>
      <c r="M31"/>
      <c r="N31" s="284"/>
      <c r="O31" s="284"/>
      <c r="Q31" s="284"/>
      <c r="R31" s="284"/>
      <c r="U31" s="2559">
        <v>0</v>
      </c>
      <c r="V31" s="284"/>
      <c r="W31" s="113"/>
      <c r="X31" s="113"/>
      <c r="Y31" s="113"/>
    </row>
    <row r="32" spans="1:25" ht="4.5" customHeight="1" thickBot="1">
      <c r="A32" s="2"/>
      <c r="B32" s="478"/>
      <c r="C32" s="268"/>
      <c r="D32" s="268"/>
      <c r="E32" s="268"/>
      <c r="F32" s="268"/>
      <c r="G32" s="268"/>
      <c r="H32" s="268"/>
      <c r="I32" s="268"/>
      <c r="J32" s="2719"/>
      <c r="K32" s="268"/>
      <c r="L32" s="268"/>
      <c r="M32"/>
      <c r="N32" s="284"/>
      <c r="O32" s="284"/>
      <c r="Q32" s="284"/>
      <c r="R32" s="284"/>
      <c r="V32" s="284"/>
      <c r="W32" s="113"/>
      <c r="X32" s="113"/>
      <c r="Y32" s="113"/>
    </row>
    <row r="33" spans="1:25" ht="20.25" customHeight="1" thickBot="1">
      <c r="A33" s="2"/>
      <c r="B33" s="478"/>
      <c r="C33" s="268"/>
      <c r="D33" s="355" t="str">
        <f>判定!C27</f>
        <v>■コンクリート系</v>
      </c>
      <c r="E33" s="1439"/>
      <c r="F33" s="1585" t="s">
        <v>1133</v>
      </c>
      <c r="G33" s="1586"/>
      <c r="H33" s="1586"/>
      <c r="I33" s="1587"/>
      <c r="J33" s="2718" t="str">
        <f>判定!J40</f>
        <v>削減率</v>
      </c>
      <c r="L33" s="1531" t="s">
        <v>2097</v>
      </c>
      <c r="M33"/>
      <c r="N33" s="284"/>
      <c r="O33" s="284"/>
      <c r="Q33" s="284"/>
      <c r="R33" s="284"/>
      <c r="U33" s="1531" t="s">
        <v>1925</v>
      </c>
      <c r="V33" s="284"/>
      <c r="W33" s="113"/>
      <c r="X33" s="113"/>
      <c r="Y33" s="113"/>
    </row>
    <row r="34" spans="1:25" ht="20.25" customHeight="1">
      <c r="A34" s="2"/>
      <c r="B34" s="478"/>
      <c r="C34" s="268"/>
      <c r="E34" s="1421" t="str">
        <f>判定!D41</f>
        <v>①</v>
      </c>
      <c r="F34" s="1424" t="str">
        <f>判定!E41</f>
        <v>基礎用コンクリートに高炉セメントB種を使用</v>
      </c>
      <c r="G34" s="1419"/>
      <c r="H34" s="1419"/>
      <c r="I34" s="1425"/>
      <c r="J34" s="2716">
        <f>IF(メイン!$C$11=メイン!$I$10,L34,M34)</f>
        <v>0.03</v>
      </c>
      <c r="L34" s="2716">
        <f>判定!J41</f>
        <v>0.03</v>
      </c>
      <c r="M34"/>
      <c r="N34" s="284"/>
      <c r="O34" s="284"/>
      <c r="Q34" s="284"/>
      <c r="R34" s="284"/>
      <c r="U34" s="2558">
        <v>0.02</v>
      </c>
      <c r="V34" s="284"/>
      <c r="W34" s="113"/>
      <c r="X34" s="113"/>
      <c r="Y34" s="113"/>
    </row>
    <row r="35" spans="1:25" ht="20.25" customHeight="1">
      <c r="A35" s="2"/>
      <c r="B35" s="478"/>
      <c r="C35" s="268"/>
      <c r="E35" s="1422" t="str">
        <f>判定!D42</f>
        <v>②</v>
      </c>
      <c r="F35" s="1426" t="str">
        <f>判定!E42</f>
        <v>上部躯体用コンクリートに高炉セメントB種を使用</v>
      </c>
      <c r="G35" s="1420"/>
      <c r="H35" s="1420"/>
      <c r="I35" s="1427"/>
      <c r="J35" s="2716">
        <f>IF(メイン!$C$11=メイン!$I$10,L35,M35)</f>
        <v>0.08</v>
      </c>
      <c r="L35" s="2716">
        <f>判定!J42</f>
        <v>0.08</v>
      </c>
      <c r="M35"/>
      <c r="N35" s="284"/>
      <c r="O35" s="284"/>
      <c r="Q35" s="284"/>
      <c r="R35" s="284"/>
      <c r="U35" s="2558">
        <v>7.0000000000000007E-2</v>
      </c>
      <c r="V35" s="284"/>
      <c r="W35" s="113"/>
      <c r="X35" s="113"/>
      <c r="Y35" s="113"/>
    </row>
    <row r="36" spans="1:25" ht="20.25" customHeight="1">
      <c r="A36" s="2"/>
      <c r="B36" s="478"/>
      <c r="C36" s="268"/>
      <c r="E36" s="1422" t="str">
        <f>判定!D43</f>
        <v>③</v>
      </c>
      <c r="F36" s="1426" t="str">
        <f>判定!E43</f>
        <v>①＋②の場合</v>
      </c>
      <c r="G36" s="1420"/>
      <c r="H36" s="1420"/>
      <c r="I36" s="1427"/>
      <c r="J36" s="2716">
        <f>IF(メイン!$C$11=メイン!$I$10,L36,M36)</f>
        <v>0.11</v>
      </c>
      <c r="L36" s="2716">
        <f>判定!J43</f>
        <v>0.11</v>
      </c>
      <c r="M36"/>
      <c r="N36" s="284"/>
      <c r="O36" s="284"/>
      <c r="Q36" s="284"/>
      <c r="R36" s="284"/>
      <c r="U36" s="2558">
        <v>0.09</v>
      </c>
      <c r="V36" s="284"/>
      <c r="W36" s="113"/>
      <c r="X36" s="113"/>
      <c r="Y36" s="113"/>
    </row>
    <row r="37" spans="1:25" ht="20.25" customHeight="1">
      <c r="A37" s="2"/>
      <c r="B37" s="478"/>
      <c r="C37" s="268"/>
      <c r="E37" s="1423"/>
      <c r="F37" s="2458" t="str">
        <f>判定!E44</f>
        <v>上記のいずれも採用していない</v>
      </c>
      <c r="G37" s="1428"/>
      <c r="H37" s="1428"/>
      <c r="I37" s="1429"/>
      <c r="J37" s="2717">
        <f>IF(メイン!$C$11=メイン!$I$10,L37,M37)</f>
        <v>0</v>
      </c>
      <c r="L37" s="2717">
        <f>判定!J44</f>
        <v>0</v>
      </c>
      <c r="M37"/>
      <c r="N37" s="284"/>
      <c r="O37" s="284"/>
      <c r="Q37" s="284"/>
      <c r="R37" s="284"/>
      <c r="U37" s="2559">
        <v>0</v>
      </c>
      <c r="V37" s="284"/>
      <c r="W37" s="113"/>
      <c r="X37" s="113"/>
      <c r="Y37" s="113"/>
    </row>
    <row r="38" spans="1:25" ht="20.25" customHeight="1">
      <c r="A38" s="2"/>
      <c r="B38" s="478"/>
      <c r="C38" s="268"/>
      <c r="N38" s="284"/>
      <c r="O38" s="284"/>
      <c r="Q38" s="284"/>
      <c r="R38" s="284"/>
      <c r="U38" s="284"/>
      <c r="V38" s="284"/>
      <c r="W38" s="113"/>
      <c r="X38" s="113"/>
      <c r="Y38" s="113"/>
    </row>
    <row r="39" spans="1:25" s="284" customFormat="1" ht="18" customHeight="1">
      <c r="A39" s="3"/>
      <c r="B39" s="137">
        <v>2</v>
      </c>
      <c r="C39" s="24" t="s">
        <v>285</v>
      </c>
      <c r="D39" s="137"/>
      <c r="E39" s="137"/>
      <c r="F39" s="137"/>
      <c r="G39" s="137"/>
      <c r="H39"/>
      <c r="I39" s="137"/>
      <c r="J39" s="137"/>
      <c r="K39" s="137"/>
      <c r="L39" s="137"/>
      <c r="M39" s="137"/>
    </row>
    <row r="40" spans="1:25" s="284" customFormat="1">
      <c r="A40" s="3"/>
      <c r="B40" s="513">
        <v>2.1</v>
      </c>
      <c r="C40" s="133" t="s">
        <v>688</v>
      </c>
      <c r="D40"/>
      <c r="E40" s="7"/>
      <c r="F40" s="7"/>
      <c r="G40" s="7"/>
      <c r="H40"/>
      <c r="I40" s="7"/>
      <c r="J40" s="7"/>
      <c r="K40" s="7"/>
      <c r="L40" s="7"/>
      <c r="M40" s="7"/>
    </row>
    <row r="41" spans="1:25" s="284" customFormat="1" ht="16.5" customHeight="1" thickBot="1">
      <c r="A41" s="3"/>
      <c r="B41" s="478"/>
      <c r="C41" s="7"/>
      <c r="D41" s="7"/>
      <c r="E41" s="7"/>
      <c r="F41" s="7"/>
      <c r="G41" s="7"/>
      <c r="H41" s="7"/>
      <c r="I41" s="7"/>
      <c r="J41" s="7"/>
      <c r="K41" s="22"/>
      <c r="L41" s="148" t="s">
        <v>2</v>
      </c>
      <c r="M41" s="328">
        <f>重み!M100</f>
        <v>0.5</v>
      </c>
      <c r="O41" s="284">
        <f t="shared" ref="O41:V41" si="1">C41</f>
        <v>0</v>
      </c>
      <c r="P41" s="284">
        <f t="shared" si="1"/>
        <v>0</v>
      </c>
      <c r="Q41" s="284">
        <f t="shared" si="1"/>
        <v>0</v>
      </c>
      <c r="R41" s="284">
        <f t="shared" si="1"/>
        <v>0</v>
      </c>
      <c r="S41" s="284">
        <f t="shared" si="1"/>
        <v>0</v>
      </c>
      <c r="T41" s="284">
        <f t="shared" si="1"/>
        <v>0</v>
      </c>
      <c r="U41" s="284">
        <f t="shared" si="1"/>
        <v>0</v>
      </c>
      <c r="V41" s="284">
        <f t="shared" si="1"/>
        <v>0</v>
      </c>
      <c r="W41" s="284" t="str">
        <f>L41</f>
        <v>重み係数＝</v>
      </c>
      <c r="X41" s="284">
        <f>M41</f>
        <v>0.5</v>
      </c>
    </row>
    <row r="42" spans="1:25" s="284" customFormat="1" ht="16.5" customHeight="1" thickBot="1">
      <c r="A42" s="3"/>
      <c r="B42" s="476"/>
      <c r="C42" s="137"/>
      <c r="D42" s="865">
        <f>ROUND(IF(F57=0,2,IF(F57&lt;=1,3,IF(F57&gt;=4,5,4))),0)</f>
        <v>4</v>
      </c>
      <c r="E42" s="2934" t="s">
        <v>415</v>
      </c>
      <c r="F42" s="2935"/>
      <c r="G42" s="2935"/>
      <c r="H42" s="2935"/>
      <c r="I42" s="2935"/>
      <c r="J42" s="2935"/>
      <c r="K42" s="2935"/>
      <c r="L42" s="2935"/>
      <c r="M42" s="2936"/>
      <c r="Q42" s="4"/>
      <c r="R42" s="4"/>
      <c r="S42" s="4"/>
      <c r="T42" s="4"/>
      <c r="U42" s="4"/>
      <c r="V42" s="113"/>
      <c r="W42" s="113"/>
      <c r="X42" s="113"/>
    </row>
    <row r="43" spans="1:25" s="284" customFormat="1" ht="16.5" customHeight="1">
      <c r="A43" s="3"/>
      <c r="B43" s="475"/>
      <c r="C43" s="137"/>
      <c r="D43" s="28" t="str">
        <f>IF(D42=$Q$90,$R$85,IF(ROUNDDOWN(D42,0)=$Q$85,$S$85,$R$85))</f>
        <v>　レベル　1</v>
      </c>
      <c r="E43" s="438" t="s">
        <v>409</v>
      </c>
      <c r="F43" s="436"/>
      <c r="G43" s="436"/>
      <c r="H43" s="436"/>
      <c r="I43" s="436"/>
      <c r="J43" s="436"/>
      <c r="K43" s="436"/>
      <c r="L43" s="436"/>
      <c r="M43" s="437"/>
      <c r="P43" s="337" t="s">
        <v>55</v>
      </c>
      <c r="Q43" s="29"/>
      <c r="R43" s="29"/>
      <c r="S43" s="29"/>
      <c r="T43" s="29"/>
      <c r="U43" s="337">
        <f>$Q$85</f>
        <v>1</v>
      </c>
      <c r="V43" s="29"/>
      <c r="W43" s="29"/>
      <c r="X43" s="29"/>
    </row>
    <row r="44" spans="1:25" s="284" customFormat="1" ht="16.5" customHeight="1">
      <c r="A44" s="3"/>
      <c r="B44" s="475"/>
      <c r="C44" s="137"/>
      <c r="D44" s="28" t="str">
        <f>IF(D42=$Q$90,$R$86,IF(ROUNDDOWN(D42,0)=$Q$86,$S$86,$R$86))</f>
        <v>　レベル　2</v>
      </c>
      <c r="E44" s="439" t="s">
        <v>286</v>
      </c>
      <c r="F44" s="430"/>
      <c r="G44" s="430"/>
      <c r="H44" s="430"/>
      <c r="I44" s="430"/>
      <c r="J44" s="430"/>
      <c r="K44" s="430"/>
      <c r="L44" s="430"/>
      <c r="M44" s="431"/>
      <c r="P44" s="337">
        <f>$Q$86</f>
        <v>2</v>
      </c>
      <c r="Q44" s="29"/>
      <c r="R44" s="29"/>
      <c r="S44" s="29"/>
      <c r="T44" s="29"/>
      <c r="U44" s="337">
        <f>$Q$86</f>
        <v>2</v>
      </c>
      <c r="V44" s="29"/>
      <c r="W44" s="29"/>
      <c r="X44" s="29"/>
    </row>
    <row r="45" spans="1:25" s="284" customFormat="1" ht="16.5" customHeight="1">
      <c r="A45" s="3"/>
      <c r="B45" s="475"/>
      <c r="C45" s="137"/>
      <c r="D45" s="28" t="str">
        <f>IF(D42=$Q$90,$R$87,IF(ROUNDDOWN(D42,0)=$Q$87,$S$87,$R$87))</f>
        <v>　レベル　3</v>
      </c>
      <c r="E45" s="439" t="s">
        <v>287</v>
      </c>
      <c r="F45" s="430"/>
      <c r="G45" s="430"/>
      <c r="H45" s="430"/>
      <c r="I45" s="430"/>
      <c r="J45" s="430"/>
      <c r="K45" s="430"/>
      <c r="L45" s="430"/>
      <c r="M45" s="431"/>
      <c r="P45" s="337">
        <f>$Q$87</f>
        <v>3</v>
      </c>
      <c r="Q45" s="29"/>
      <c r="R45" s="29"/>
      <c r="S45" s="29"/>
      <c r="T45" s="29"/>
      <c r="U45" s="337">
        <f>$Q$87</f>
        <v>3</v>
      </c>
      <c r="V45" s="29"/>
      <c r="W45" s="29"/>
      <c r="X45" s="29"/>
    </row>
    <row r="46" spans="1:25" s="284" customFormat="1" ht="16.5" customHeight="1">
      <c r="A46" s="3"/>
      <c r="B46" s="475"/>
      <c r="C46" s="137"/>
      <c r="D46" s="28" t="str">
        <f>IF(D42=$Q$90,$R$88,IF(ROUNDDOWN(D42,0)=$Q$88,$S$88,$R$88))</f>
        <v>■レベル　4</v>
      </c>
      <c r="E46" s="451" t="s">
        <v>288</v>
      </c>
      <c r="F46" s="2630"/>
      <c r="G46" s="2630"/>
      <c r="H46" s="2630"/>
      <c r="I46" s="2630"/>
      <c r="J46" s="2630"/>
      <c r="K46" s="2630"/>
      <c r="L46" s="2630"/>
      <c r="M46" s="2631"/>
      <c r="P46" s="337">
        <f>$Q$88</f>
        <v>4</v>
      </c>
      <c r="Q46" s="29"/>
      <c r="R46" s="29"/>
      <c r="S46" s="29"/>
      <c r="T46" s="29"/>
      <c r="U46" s="337">
        <f>$Q$88</f>
        <v>4</v>
      </c>
      <c r="V46" s="29"/>
      <c r="W46" s="29"/>
      <c r="X46" s="29"/>
    </row>
    <row r="47" spans="1:25" s="284" customFormat="1" ht="16.5" customHeight="1">
      <c r="A47" s="3"/>
      <c r="B47" s="475"/>
      <c r="C47" s="137"/>
      <c r="D47" s="26" t="str">
        <f>IF(D42=$Q$90,$R$89,IF(ROUNDDOWN(D42,0)=$Q$89,$S$89,$R$89))</f>
        <v>　レベル　5</v>
      </c>
      <c r="E47" s="473" t="s">
        <v>289</v>
      </c>
      <c r="F47" s="2632"/>
      <c r="G47" s="2632"/>
      <c r="H47" s="2632"/>
      <c r="I47" s="2632"/>
      <c r="J47" s="2632"/>
      <c r="K47" s="2632"/>
      <c r="L47" s="2632"/>
      <c r="M47" s="2633"/>
      <c r="P47" s="337">
        <f>$Q$89</f>
        <v>5</v>
      </c>
      <c r="Q47" s="29"/>
      <c r="R47" s="29"/>
      <c r="S47" s="29"/>
      <c r="T47" s="29"/>
      <c r="U47" s="337">
        <f>$Q$89</f>
        <v>5</v>
      </c>
      <c r="V47" s="29"/>
      <c r="W47" s="29"/>
      <c r="X47" s="29"/>
    </row>
    <row r="48" spans="1:25" s="284" customFormat="1" ht="16.5" customHeight="1">
      <c r="A48" s="3"/>
      <c r="B48" s="475"/>
      <c r="C48" s="137"/>
      <c r="D48" s="137"/>
      <c r="E48" s="127" t="s">
        <v>35</v>
      </c>
      <c r="F48" s="19"/>
      <c r="G48" s="126"/>
      <c r="H48" s="32"/>
      <c r="I48" s="32"/>
      <c r="J48" s="19"/>
      <c r="K48" s="19"/>
      <c r="L48" s="19"/>
      <c r="M48" s="19"/>
      <c r="P48" s="337" t="s">
        <v>68</v>
      </c>
      <c r="Q48" s="29"/>
      <c r="R48" s="29"/>
      <c r="S48" s="29"/>
      <c r="T48" s="29"/>
      <c r="U48" s="337" t="str">
        <f>$Q$90</f>
        <v>対象外</v>
      </c>
      <c r="V48" s="29"/>
      <c r="W48" s="29"/>
      <c r="X48" s="29"/>
    </row>
    <row r="49" spans="1:25" s="284" customFormat="1" ht="16.5" customHeight="1" thickBot="1">
      <c r="A49" s="3"/>
      <c r="B49" s="475"/>
      <c r="C49" s="137"/>
      <c r="D49" s="137"/>
      <c r="E49" s="119" t="s">
        <v>351</v>
      </c>
      <c r="F49" s="462" t="s">
        <v>17</v>
      </c>
      <c r="G49" s="428" t="s">
        <v>78</v>
      </c>
      <c r="H49" s="461" t="s">
        <v>80</v>
      </c>
      <c r="I49" s="462"/>
      <c r="J49" s="462"/>
      <c r="K49" s="462"/>
      <c r="L49" s="462"/>
      <c r="M49" s="463"/>
      <c r="P49" s="480"/>
      <c r="Q49" s="29"/>
      <c r="R49" s="29"/>
      <c r="S49" s="29"/>
      <c r="T49" s="29"/>
      <c r="U49" s="480"/>
      <c r="V49" s="29"/>
      <c r="W49" s="29"/>
      <c r="X49" s="29"/>
    </row>
    <row r="50" spans="1:25" s="284" customFormat="1" ht="24" customHeight="1">
      <c r="A50" s="3"/>
      <c r="B50" s="475"/>
      <c r="C50" s="137"/>
      <c r="D50" s="137"/>
      <c r="E50" s="330"/>
      <c r="F50" s="2986" t="s">
        <v>690</v>
      </c>
      <c r="G50" s="675">
        <v>1</v>
      </c>
      <c r="H50" s="2937" t="s">
        <v>692</v>
      </c>
      <c r="I50" s="2938"/>
      <c r="J50" s="2938"/>
      <c r="K50" s="2938"/>
      <c r="L50" s="2938"/>
      <c r="M50" s="2939"/>
      <c r="P50" s="480"/>
      <c r="Q50" s="29"/>
      <c r="R50" s="29"/>
      <c r="S50" s="29"/>
      <c r="T50" s="29"/>
      <c r="U50" s="480"/>
      <c r="V50" s="29"/>
      <c r="W50" s="29"/>
      <c r="X50" s="29"/>
    </row>
    <row r="51" spans="1:25" s="284" customFormat="1" ht="16.5" customHeight="1">
      <c r="A51" s="3"/>
      <c r="B51" s="475"/>
      <c r="C51" s="137"/>
      <c r="D51" s="137"/>
      <c r="E51" s="449" t="s">
        <v>687</v>
      </c>
      <c r="F51" s="2941"/>
      <c r="G51" s="483">
        <v>2</v>
      </c>
      <c r="H51" s="451" t="s">
        <v>693</v>
      </c>
      <c r="I51" s="2626"/>
      <c r="J51" s="2626"/>
      <c r="K51" s="2626"/>
      <c r="L51" s="2626"/>
      <c r="M51" s="2627"/>
      <c r="P51" s="480"/>
      <c r="Q51" s="29"/>
      <c r="R51" s="29"/>
      <c r="S51" s="29"/>
      <c r="T51" s="29"/>
      <c r="U51" s="480"/>
      <c r="V51" s="29"/>
      <c r="W51" s="29"/>
      <c r="X51" s="29"/>
    </row>
    <row r="52" spans="1:25" s="284" customFormat="1" ht="16.5" customHeight="1">
      <c r="A52" s="3"/>
      <c r="B52" s="475"/>
      <c r="C52" s="137"/>
      <c r="D52" s="137"/>
      <c r="E52" s="616"/>
      <c r="F52" s="2941"/>
      <c r="G52" s="484">
        <v>3</v>
      </c>
      <c r="H52" s="670" t="s">
        <v>694</v>
      </c>
      <c r="I52" s="2720"/>
      <c r="J52" s="2720"/>
      <c r="K52" s="2720"/>
      <c r="L52" s="2720"/>
      <c r="M52" s="2721"/>
      <c r="P52" s="480"/>
      <c r="Q52" s="29"/>
      <c r="R52" s="29"/>
      <c r="S52" s="29"/>
      <c r="T52" s="29"/>
      <c r="U52" s="480"/>
      <c r="V52" s="29"/>
      <c r="W52" s="29"/>
      <c r="X52" s="29"/>
    </row>
    <row r="53" spans="1:25" s="284" customFormat="1" ht="15.6" customHeight="1">
      <c r="A53" s="3"/>
      <c r="B53" s="475"/>
      <c r="C53" s="137"/>
      <c r="D53" s="137"/>
      <c r="E53" s="663"/>
      <c r="F53" s="2986" t="s">
        <v>691</v>
      </c>
      <c r="G53" s="675">
        <v>4</v>
      </c>
      <c r="H53" s="457" t="s">
        <v>695</v>
      </c>
      <c r="I53" s="2644"/>
      <c r="J53" s="2644"/>
      <c r="K53" s="2644"/>
      <c r="L53" s="2644"/>
      <c r="M53" s="2645"/>
      <c r="P53" s="480"/>
      <c r="Q53" s="29"/>
      <c r="R53" s="29"/>
      <c r="S53" s="29"/>
      <c r="T53" s="29"/>
      <c r="U53" s="480"/>
      <c r="V53" s="29"/>
      <c r="W53" s="29"/>
      <c r="X53" s="29"/>
    </row>
    <row r="54" spans="1:25" s="284" customFormat="1">
      <c r="A54" s="3"/>
      <c r="B54" s="475"/>
      <c r="C54" s="137"/>
      <c r="D54" s="137"/>
      <c r="E54" s="616" t="s">
        <v>687</v>
      </c>
      <c r="F54" s="2941"/>
      <c r="G54" s="3029">
        <v>5</v>
      </c>
      <c r="H54" s="670" t="s">
        <v>696</v>
      </c>
      <c r="I54" s="2720"/>
      <c r="J54" s="2720"/>
      <c r="K54" s="2720"/>
      <c r="L54" s="2720"/>
      <c r="M54" s="2721"/>
      <c r="O54" s="2549" t="s">
        <v>1926</v>
      </c>
      <c r="P54" s="480"/>
      <c r="Q54" s="29"/>
      <c r="R54" s="29"/>
      <c r="S54" s="29"/>
      <c r="T54" s="29"/>
      <c r="U54" s="480"/>
      <c r="V54" s="29"/>
      <c r="W54" s="29"/>
      <c r="X54" s="29"/>
    </row>
    <row r="55" spans="1:25" s="284" customFormat="1" hidden="1">
      <c r="A55" s="3"/>
      <c r="B55" s="475"/>
      <c r="C55" s="137"/>
      <c r="D55" s="137"/>
      <c r="E55" s="2546"/>
      <c r="F55" s="2942"/>
      <c r="G55" s="3096"/>
      <c r="H55" s="2722" t="s">
        <v>2098</v>
      </c>
      <c r="I55" s="2723"/>
      <c r="J55" s="2723"/>
      <c r="K55" s="2723"/>
      <c r="L55" s="2723"/>
      <c r="M55" s="2724"/>
      <c r="O55" s="2549" t="s">
        <v>1927</v>
      </c>
      <c r="P55" s="480"/>
      <c r="Q55" s="29"/>
      <c r="R55" s="29"/>
      <c r="S55" s="29"/>
      <c r="T55" s="29"/>
      <c r="U55" s="480"/>
      <c r="V55" s="29"/>
      <c r="W55" s="29"/>
      <c r="X55" s="29"/>
    </row>
    <row r="56" spans="1:25" s="284" customFormat="1" ht="16.5" customHeight="1" thickBot="1">
      <c r="A56" s="3"/>
      <c r="B56" s="475"/>
      <c r="C56" s="137"/>
      <c r="D56" s="137"/>
      <c r="E56" s="671" t="s">
        <v>687</v>
      </c>
      <c r="F56" s="672" t="s">
        <v>855</v>
      </c>
      <c r="G56" s="325">
        <v>6</v>
      </c>
      <c r="H56" s="655" t="s">
        <v>149</v>
      </c>
      <c r="I56" s="673"/>
      <c r="J56" s="673"/>
      <c r="K56" s="673"/>
      <c r="L56" s="673"/>
      <c r="M56" s="674"/>
      <c r="P56"/>
      <c r="Q56"/>
      <c r="R56"/>
      <c r="S56" s="29"/>
      <c r="T56" s="29"/>
      <c r="U56" s="480"/>
      <c r="V56" s="29"/>
      <c r="W56" s="29"/>
      <c r="X56" s="29"/>
    </row>
    <row r="57" spans="1:25" ht="16.5" customHeight="1">
      <c r="A57" s="2"/>
      <c r="B57" s="2725"/>
      <c r="C57" s="839"/>
      <c r="D57" s="839"/>
      <c r="E57" s="497" t="s">
        <v>483</v>
      </c>
      <c r="F57" s="838">
        <f>COUNTIF(E50:E56,"○")</f>
        <v>3</v>
      </c>
      <c r="G57" s="845"/>
      <c r="H57" s="845"/>
      <c r="I57" s="118"/>
      <c r="J57" s="118"/>
      <c r="K57" s="118"/>
      <c r="L57" s="405"/>
      <c r="M57" s="456"/>
      <c r="P57"/>
      <c r="Q57"/>
      <c r="R57"/>
      <c r="S57" s="29"/>
      <c r="T57" s="29"/>
      <c r="U57" s="880"/>
      <c r="V57" s="29"/>
      <c r="W57" s="29"/>
      <c r="X57" s="29"/>
    </row>
    <row r="58" spans="1:25" s="29" customFormat="1" ht="8.25" customHeight="1">
      <c r="A58" s="19"/>
      <c r="B58" s="137"/>
      <c r="C58" s="504"/>
      <c r="D58" s="270"/>
      <c r="E58" s="270"/>
      <c r="F58" s="2"/>
      <c r="G58" s="2"/>
      <c r="H58" s="2"/>
      <c r="I58" s="2"/>
      <c r="J58" s="2"/>
      <c r="K58" s="2"/>
      <c r="L58" s="2"/>
      <c r="M58" s="2"/>
      <c r="N58" s="22"/>
      <c r="P58"/>
      <c r="Q58"/>
      <c r="R58"/>
      <c r="S58" s="4"/>
      <c r="T58" s="113"/>
    </row>
    <row r="59" spans="1:25" s="29" customFormat="1" ht="21" customHeight="1">
      <c r="A59" s="19"/>
      <c r="B59" s="137"/>
      <c r="C59" s="504"/>
      <c r="E59" s="646" t="s">
        <v>3</v>
      </c>
      <c r="F59" s="647"/>
      <c r="G59" s="2441"/>
      <c r="H59" s="2442"/>
      <c r="I59" s="990"/>
      <c r="J59" s="990"/>
      <c r="K59" s="990"/>
      <c r="L59" s="990"/>
      <c r="M59" s="991"/>
      <c r="N59" s="22"/>
      <c r="P59"/>
      <c r="Q59"/>
      <c r="R59"/>
      <c r="S59" s="4"/>
      <c r="T59" s="113"/>
      <c r="U59" s="511"/>
      <c r="V59" s="113"/>
      <c r="W59" s="113"/>
      <c r="X59" s="113"/>
      <c r="Y59" s="113"/>
    </row>
    <row r="60" spans="1:25" s="284" customFormat="1">
      <c r="A60" s="3"/>
      <c r="B60" s="475"/>
      <c r="C60" s="137"/>
      <c r="D60" s="137"/>
      <c r="E60" s="137"/>
      <c r="F60" s="137"/>
      <c r="G60" s="137"/>
      <c r="H60" s="137"/>
      <c r="I60" s="137"/>
      <c r="J60" s="137"/>
      <c r="K60" s="137"/>
      <c r="L60" s="137"/>
      <c r="M60" s="137"/>
      <c r="N60" s="112"/>
      <c r="O60" s="286"/>
      <c r="P60" s="286"/>
    </row>
    <row r="61" spans="1:25" s="284" customFormat="1">
      <c r="A61" s="3"/>
      <c r="B61" s="513">
        <v>2.2000000000000002</v>
      </c>
      <c r="C61" s="24" t="s">
        <v>79</v>
      </c>
      <c r="D61" s="24"/>
      <c r="E61" s="137"/>
      <c r="F61" s="137"/>
      <c r="G61" s="137"/>
      <c r="H61" s="137"/>
      <c r="I61" s="137"/>
      <c r="J61" s="137"/>
      <c r="K61" s="137"/>
      <c r="L61" s="137"/>
      <c r="M61" s="137"/>
      <c r="N61" s="112"/>
      <c r="O61" s="286"/>
      <c r="P61" s="286"/>
    </row>
    <row r="62" spans="1:25" s="284" customFormat="1" ht="16.5" customHeight="1" thickBot="1">
      <c r="A62" s="13"/>
      <c r="B62"/>
      <c r="C62"/>
      <c r="D62"/>
      <c r="E62" s="19"/>
      <c r="F62" s="22"/>
      <c r="G62" s="22"/>
      <c r="H62" s="22"/>
      <c r="I62" s="22"/>
      <c r="J62" s="22"/>
      <c r="K62" s="22"/>
      <c r="L62" s="148" t="s">
        <v>2</v>
      </c>
      <c r="M62" s="328">
        <f>重み!M101</f>
        <v>0.5</v>
      </c>
      <c r="N62" s="3"/>
      <c r="O62" s="284">
        <f t="shared" ref="O62:V62" si="2">C62</f>
        <v>0</v>
      </c>
      <c r="P62" s="284">
        <f t="shared" si="2"/>
        <v>0</v>
      </c>
      <c r="Q62" s="284">
        <f t="shared" si="2"/>
        <v>0</v>
      </c>
      <c r="R62" s="284">
        <f t="shared" si="2"/>
        <v>0</v>
      </c>
      <c r="S62" s="284">
        <f t="shared" si="2"/>
        <v>0</v>
      </c>
      <c r="T62" s="284">
        <f t="shared" si="2"/>
        <v>0</v>
      </c>
      <c r="U62" s="284">
        <f t="shared" si="2"/>
        <v>0</v>
      </c>
      <c r="V62" s="284">
        <f t="shared" si="2"/>
        <v>0</v>
      </c>
      <c r="W62" s="284" t="str">
        <f>L62</f>
        <v>重み係数＝</v>
      </c>
      <c r="X62" s="284">
        <f>M62</f>
        <v>0.5</v>
      </c>
    </row>
    <row r="63" spans="1:25" s="15" customFormat="1" ht="16.5" customHeight="1" thickBot="1">
      <c r="A63" s="2"/>
      <c r="B63" s="475"/>
      <c r="C63" s="137"/>
      <c r="D63" s="865">
        <f>ROUND(IF(F77&gt;=5,5,IF(F77&gt;=3,4,IF(F77&gt;=1,3,1))),0)</f>
        <v>4</v>
      </c>
      <c r="E63" s="2934" t="s">
        <v>415</v>
      </c>
      <c r="F63" s="2935"/>
      <c r="G63" s="2935"/>
      <c r="H63" s="2935"/>
      <c r="I63" s="2935"/>
      <c r="J63" s="2935"/>
      <c r="K63" s="2935"/>
      <c r="L63" s="2935"/>
      <c r="M63" s="2936"/>
      <c r="N63" s="3"/>
      <c r="O63" s="284"/>
      <c r="P63" s="284"/>
      <c r="Q63" s="4"/>
      <c r="R63" s="4"/>
      <c r="S63" s="4"/>
      <c r="T63" s="4"/>
      <c r="U63" s="4"/>
      <c r="V63" s="113"/>
      <c r="W63" s="113"/>
      <c r="X63" s="113"/>
    </row>
    <row r="64" spans="1:25" ht="16.5" customHeight="1">
      <c r="A64" s="2"/>
      <c r="B64" s="475"/>
      <c r="C64" s="137"/>
      <c r="D64" s="28" t="str">
        <f>IF(D63=$Q$90,$R$85,IF(ROUNDDOWN(D63,0)=$Q$85,$S$85,$R$85))</f>
        <v>　レベル　1</v>
      </c>
      <c r="E64" s="438" t="s">
        <v>689</v>
      </c>
      <c r="F64" s="436"/>
      <c r="G64" s="436"/>
      <c r="H64" s="436"/>
      <c r="I64" s="436"/>
      <c r="J64" s="436"/>
      <c r="K64" s="436"/>
      <c r="L64" s="436"/>
      <c r="M64" s="437"/>
      <c r="N64" s="3"/>
      <c r="O64" s="284"/>
      <c r="P64" s="337">
        <f>$Q$85</f>
        <v>1</v>
      </c>
      <c r="Q64" s="29"/>
      <c r="R64" s="29"/>
      <c r="S64" s="29"/>
      <c r="T64" s="29"/>
      <c r="U64" s="337">
        <f>$Q$85</f>
        <v>1</v>
      </c>
      <c r="V64" s="29"/>
      <c r="W64" s="29"/>
      <c r="X64" s="29"/>
    </row>
    <row r="65" spans="1:25" ht="16.5" customHeight="1">
      <c r="A65" s="2"/>
      <c r="B65" s="475"/>
      <c r="C65" s="137"/>
      <c r="D65" s="28" t="str">
        <f>IF(D63=$Q$90,$R$86,IF(ROUNDDOWN(D63,0)=$Q$86,$S$86,$R$86))</f>
        <v>　レベル　2</v>
      </c>
      <c r="E65" s="439" t="s">
        <v>409</v>
      </c>
      <c r="F65" s="430"/>
      <c r="G65" s="430"/>
      <c r="H65" s="430"/>
      <c r="I65" s="430"/>
      <c r="J65" s="430"/>
      <c r="K65" s="430"/>
      <c r="L65" s="430"/>
      <c r="M65" s="431"/>
      <c r="N65" s="3"/>
      <c r="O65" s="284"/>
      <c r="P65" s="337" t="s">
        <v>55</v>
      </c>
      <c r="Q65" s="29"/>
      <c r="R65" s="29"/>
      <c r="S65" s="29"/>
      <c r="T65" s="29"/>
      <c r="U65" s="337">
        <f>$Q$86</f>
        <v>2</v>
      </c>
      <c r="V65" s="29"/>
      <c r="W65" s="29"/>
      <c r="X65" s="29"/>
    </row>
    <row r="66" spans="1:25" ht="16.5" customHeight="1">
      <c r="A66" s="2"/>
      <c r="B66" s="475"/>
      <c r="C66" s="137"/>
      <c r="D66" s="28" t="str">
        <f>IF(D63=$Q$90,$R$87,IF(ROUNDDOWN(D63,0)=$Q$87,$S$87,$R$87))</f>
        <v>　レベル　3</v>
      </c>
      <c r="E66" s="439" t="s">
        <v>2147</v>
      </c>
      <c r="F66" s="430"/>
      <c r="G66" s="430"/>
      <c r="H66" s="430"/>
      <c r="I66" s="430"/>
      <c r="J66" s="430"/>
      <c r="K66" s="430"/>
      <c r="L66" s="430"/>
      <c r="M66" s="431"/>
      <c r="N66" s="3"/>
      <c r="O66" s="284"/>
      <c r="P66" s="337">
        <f>$Q$87</f>
        <v>3</v>
      </c>
      <c r="Q66" s="29"/>
      <c r="R66" s="29"/>
      <c r="S66" s="29"/>
      <c r="T66" s="29"/>
      <c r="U66" s="337">
        <f>$Q$87</f>
        <v>3</v>
      </c>
      <c r="V66" s="29"/>
      <c r="W66" s="29"/>
      <c r="X66" s="29"/>
    </row>
    <row r="67" spans="1:25" ht="16.5" customHeight="1">
      <c r="A67" s="2"/>
      <c r="B67" s="475"/>
      <c r="C67" s="137"/>
      <c r="D67" s="28" t="str">
        <f>IF(D63=$Q$90,$R$88,IF(ROUNDDOWN(D63,0)=$Q$88,$S$88,$R$88))</f>
        <v>■レベル　4</v>
      </c>
      <c r="E67" s="451" t="s">
        <v>2148</v>
      </c>
      <c r="F67" s="430"/>
      <c r="G67" s="430"/>
      <c r="H67" s="430"/>
      <c r="I67" s="430"/>
      <c r="J67" s="430"/>
      <c r="K67" s="430"/>
      <c r="L67" s="430"/>
      <c r="M67" s="431"/>
      <c r="N67" s="3"/>
      <c r="O67" s="284"/>
      <c r="P67" s="337">
        <f>$Q$88</f>
        <v>4</v>
      </c>
      <c r="Q67" s="29"/>
      <c r="R67" s="29"/>
      <c r="S67" s="29"/>
      <c r="T67" s="29"/>
      <c r="U67" s="337">
        <f>$Q$88</f>
        <v>4</v>
      </c>
      <c r="V67" s="29"/>
      <c r="W67" s="29"/>
      <c r="X67" s="29"/>
    </row>
    <row r="68" spans="1:25" ht="16.5" customHeight="1">
      <c r="A68" s="2"/>
      <c r="B68" s="475"/>
      <c r="C68" s="137"/>
      <c r="D68" s="26" t="str">
        <f>IF(D63=$Q$90,$R$89,IF(ROUNDDOWN(D63,0)=$Q$89,$S$89,$R$89))</f>
        <v>　レベル　5</v>
      </c>
      <c r="E68" s="2998" t="s">
        <v>2149</v>
      </c>
      <c r="F68" s="2999"/>
      <c r="G68" s="2999"/>
      <c r="H68" s="2999"/>
      <c r="I68" s="2999"/>
      <c r="J68" s="2999"/>
      <c r="K68" s="2999"/>
      <c r="L68" s="2999"/>
      <c r="M68" s="3000"/>
      <c r="N68" s="3"/>
      <c r="O68" s="284"/>
      <c r="P68" s="337">
        <f>$Q$89</f>
        <v>5</v>
      </c>
      <c r="Q68" s="29"/>
      <c r="R68" s="29"/>
      <c r="S68" s="29"/>
      <c r="T68" s="29"/>
      <c r="U68" s="337">
        <f>$Q$89</f>
        <v>5</v>
      </c>
      <c r="V68" s="29"/>
      <c r="W68" s="29"/>
      <c r="X68" s="29"/>
    </row>
    <row r="69" spans="1:25" ht="16.5" customHeight="1">
      <c r="A69" s="2"/>
      <c r="B69" s="475"/>
      <c r="C69" s="137"/>
      <c r="D69" s="137"/>
      <c r="E69" s="127" t="s">
        <v>35</v>
      </c>
      <c r="F69" s="19"/>
      <c r="G69" s="126"/>
      <c r="H69" s="32"/>
      <c r="I69" s="32"/>
      <c r="J69" s="32"/>
      <c r="K69" s="32"/>
      <c r="L69" s="32"/>
      <c r="M69" s="32"/>
      <c r="N69" s="3"/>
      <c r="O69" s="284"/>
      <c r="P69" s="337" t="s">
        <v>68</v>
      </c>
      <c r="Q69" s="284" t="s">
        <v>87</v>
      </c>
      <c r="R69" s="29"/>
      <c r="S69" s="29"/>
      <c r="T69" s="29"/>
      <c r="U69" s="337" t="str">
        <f>$Q$90</f>
        <v>対象外</v>
      </c>
      <c r="V69" s="29"/>
      <c r="W69" s="29"/>
      <c r="X69" s="29"/>
    </row>
    <row r="70" spans="1:25" ht="16.5" customHeight="1" thickBot="1">
      <c r="A70" s="2"/>
      <c r="B70" s="475"/>
      <c r="D70" s="137"/>
      <c r="E70" s="119" t="s">
        <v>351</v>
      </c>
      <c r="F70" s="462" t="s">
        <v>17</v>
      </c>
      <c r="G70" s="428" t="s">
        <v>78</v>
      </c>
      <c r="H70" s="429"/>
      <c r="I70" s="429"/>
      <c r="J70" s="429"/>
      <c r="K70" s="429"/>
      <c r="L70" s="2562"/>
      <c r="M70" s="485" t="s">
        <v>2146</v>
      </c>
      <c r="N70" s="3"/>
      <c r="O70" s="284"/>
    </row>
    <row r="71" spans="1:25" ht="24" customHeight="1">
      <c r="A71" s="2"/>
      <c r="B71" s="475"/>
      <c r="C71" s="137"/>
      <c r="D71" s="137"/>
      <c r="E71" s="2564">
        <v>2</v>
      </c>
      <c r="F71" s="2592" t="s">
        <v>2099</v>
      </c>
      <c r="G71" s="138">
        <v>1</v>
      </c>
      <c r="H71" s="2726" t="s">
        <v>2101</v>
      </c>
      <c r="I71" s="2727"/>
      <c r="J71" s="2727"/>
      <c r="K71" s="2727"/>
      <c r="L71" s="2728"/>
      <c r="M71" s="2593">
        <v>2</v>
      </c>
      <c r="N71" s="3"/>
      <c r="O71" s="284"/>
      <c r="P71" s="486">
        <v>0</v>
      </c>
      <c r="Q71" s="1114">
        <f>M71</f>
        <v>2</v>
      </c>
    </row>
    <row r="72" spans="1:25" ht="26.4" customHeight="1">
      <c r="A72" s="2"/>
      <c r="B72" s="475"/>
      <c r="C72" s="137"/>
      <c r="D72" s="137"/>
      <c r="E72" s="2565">
        <v>1</v>
      </c>
      <c r="F72" s="2561" t="s">
        <v>2100</v>
      </c>
      <c r="G72" s="523">
        <v>2</v>
      </c>
      <c r="H72" s="3103" t="s">
        <v>2102</v>
      </c>
      <c r="I72" s="3104"/>
      <c r="J72" s="3104"/>
      <c r="K72" s="3104"/>
      <c r="L72" s="3105"/>
      <c r="M72" s="2591">
        <v>1</v>
      </c>
      <c r="N72" s="3"/>
      <c r="O72" s="284"/>
      <c r="P72" s="486">
        <v>0</v>
      </c>
      <c r="Q72" s="1114">
        <f t="shared" ref="Q72:Q73" si="3">M72</f>
        <v>1</v>
      </c>
    </row>
    <row r="73" spans="1:25" ht="24" customHeight="1">
      <c r="A73" s="2"/>
      <c r="B73" s="475"/>
      <c r="C73" s="137"/>
      <c r="D73" s="137"/>
      <c r="E73" s="2565">
        <v>0</v>
      </c>
      <c r="F73" s="2560" t="s">
        <v>2104</v>
      </c>
      <c r="G73" s="2547">
        <v>3</v>
      </c>
      <c r="H73" s="3097" t="s">
        <v>2103</v>
      </c>
      <c r="I73" s="3098"/>
      <c r="J73" s="3098"/>
      <c r="K73" s="3098"/>
      <c r="L73" s="3099"/>
      <c r="M73" s="2566">
        <v>2</v>
      </c>
      <c r="N73" s="3"/>
      <c r="O73" s="284"/>
      <c r="P73" s="486">
        <v>0</v>
      </c>
      <c r="Q73" s="1114">
        <f t="shared" si="3"/>
        <v>2</v>
      </c>
    </row>
    <row r="74" spans="1:25" ht="24" customHeight="1">
      <c r="A74" s="2"/>
      <c r="B74" s="475"/>
      <c r="C74" s="137"/>
      <c r="D74" s="137"/>
      <c r="E74" s="2565">
        <v>0</v>
      </c>
      <c r="F74" s="2563"/>
      <c r="G74" s="2567">
        <v>4</v>
      </c>
      <c r="H74" s="3100" t="s">
        <v>2105</v>
      </c>
      <c r="I74" s="3101"/>
      <c r="J74" s="3101"/>
      <c r="K74" s="3101"/>
      <c r="L74" s="3102"/>
      <c r="M74" s="2567">
        <v>1</v>
      </c>
      <c r="N74" s="3"/>
      <c r="O74" s="284"/>
      <c r="P74" s="486">
        <v>0</v>
      </c>
      <c r="Q74" s="1114">
        <f t="shared" ref="Q74:Q76" si="4">M74</f>
        <v>1</v>
      </c>
    </row>
    <row r="75" spans="1:25" ht="24" customHeight="1">
      <c r="A75" s="2"/>
      <c r="B75" s="475"/>
      <c r="C75" s="137"/>
      <c r="D75" s="137"/>
      <c r="E75" s="2565">
        <v>0</v>
      </c>
      <c r="F75" s="2561" t="s">
        <v>2108</v>
      </c>
      <c r="G75" s="2566">
        <v>5</v>
      </c>
      <c r="H75" s="3097" t="s">
        <v>2106</v>
      </c>
      <c r="I75" s="3098"/>
      <c r="J75" s="3098"/>
      <c r="K75" s="3098"/>
      <c r="L75" s="3099"/>
      <c r="M75" s="2566">
        <v>2</v>
      </c>
      <c r="N75" s="3"/>
      <c r="O75" s="284"/>
      <c r="P75" s="486">
        <v>0</v>
      </c>
      <c r="Q75" s="1114">
        <f t="shared" si="4"/>
        <v>2</v>
      </c>
    </row>
    <row r="76" spans="1:25" ht="24" customHeight="1" thickBot="1">
      <c r="A76" s="2"/>
      <c r="B76" s="475"/>
      <c r="C76" s="137"/>
      <c r="D76" s="137"/>
      <c r="E76" s="2568">
        <v>0</v>
      </c>
      <c r="F76" s="2561"/>
      <c r="G76" s="2553">
        <v>6</v>
      </c>
      <c r="H76" s="3100" t="s">
        <v>2107</v>
      </c>
      <c r="I76" s="3101"/>
      <c r="J76" s="3101"/>
      <c r="K76" s="3101"/>
      <c r="L76" s="3102"/>
      <c r="M76" s="1115">
        <v>1</v>
      </c>
      <c r="N76" s="3"/>
      <c r="O76" s="284"/>
      <c r="P76" s="486">
        <v>0</v>
      </c>
      <c r="Q76" s="1114">
        <f t="shared" si="4"/>
        <v>1</v>
      </c>
    </row>
    <row r="77" spans="1:25" ht="16.5" customHeight="1">
      <c r="A77" s="2"/>
      <c r="B77" s="475"/>
      <c r="C77" s="137"/>
      <c r="D77" s="137"/>
      <c r="E77" s="329" t="s">
        <v>483</v>
      </c>
      <c r="F77" s="2607">
        <f>SUM(E71:E76)</f>
        <v>3</v>
      </c>
      <c r="G77" s="467"/>
      <c r="H77" s="467"/>
      <c r="I77" s="325"/>
      <c r="J77" s="468"/>
      <c r="K77" s="469"/>
      <c r="L77" s="469"/>
      <c r="M77" s="470"/>
      <c r="N77" s="3"/>
      <c r="O77" s="284"/>
    </row>
    <row r="78" spans="1:25" s="29" customFormat="1" ht="8.25" customHeight="1">
      <c r="A78" s="19"/>
      <c r="B78" s="137"/>
      <c r="C78" s="504"/>
      <c r="D78" s="270"/>
      <c r="E78" s="270"/>
      <c r="F78" s="2"/>
      <c r="G78" s="2"/>
      <c r="H78" s="2"/>
      <c r="I78" s="2"/>
      <c r="J78" s="2"/>
      <c r="K78" s="2"/>
      <c r="L78" s="2"/>
      <c r="M78" s="2"/>
      <c r="N78" s="22"/>
      <c r="P78"/>
      <c r="R78" s="4"/>
      <c r="S78" s="4"/>
      <c r="T78" s="113"/>
    </row>
    <row r="79" spans="1:25" s="29" customFormat="1" ht="21" customHeight="1">
      <c r="A79" s="19"/>
      <c r="B79" s="137"/>
      <c r="C79" s="504"/>
      <c r="E79" s="646" t="s">
        <v>3</v>
      </c>
      <c r="F79" s="647"/>
      <c r="G79" s="2441"/>
      <c r="H79" s="2442"/>
      <c r="I79" s="990"/>
      <c r="J79" s="990"/>
      <c r="K79" s="990"/>
      <c r="L79" s="990"/>
      <c r="M79" s="991"/>
      <c r="N79" s="22"/>
      <c r="P79" s="511"/>
      <c r="Q79" s="284"/>
      <c r="R79" s="4"/>
      <c r="S79" s="4"/>
      <c r="T79" s="113"/>
      <c r="U79" s="511"/>
      <c r="V79" s="113"/>
      <c r="W79" s="113"/>
      <c r="X79" s="113"/>
      <c r="Y79" s="113"/>
    </row>
    <row r="80" spans="1:25">
      <c r="B80" s="476"/>
      <c r="O80" s="284"/>
    </row>
    <row r="81" spans="1:25" s="285" customFormat="1">
      <c r="A81" s="14"/>
      <c r="B81" s="513">
        <v>3</v>
      </c>
      <c r="C81" s="285" t="s">
        <v>702</v>
      </c>
      <c r="N81" s="284"/>
      <c r="O81" s="284"/>
      <c r="P81" s="284"/>
      <c r="Q81" s="29"/>
      <c r="R81" s="667"/>
      <c r="S81" s="264"/>
      <c r="T81" s="264"/>
      <c r="U81" s="264"/>
      <c r="V81" s="113"/>
      <c r="W81" s="264"/>
      <c r="X81" s="264"/>
    </row>
    <row r="82" spans="1:25">
      <c r="A82" s="2"/>
      <c r="B82" s="513">
        <v>3.1</v>
      </c>
      <c r="C82" s="23" t="s">
        <v>806</v>
      </c>
      <c r="D82" s="2652"/>
      <c r="N82" s="284"/>
      <c r="O82" s="284"/>
      <c r="P82" s="284"/>
      <c r="Q82" s="29"/>
      <c r="S82" s="264"/>
      <c r="T82" s="113"/>
      <c r="U82" s="113"/>
      <c r="V82" s="113"/>
      <c r="W82" s="113"/>
      <c r="X82" s="113"/>
      <c r="Y82" s="113"/>
    </row>
    <row r="83" spans="1:25" ht="16.5" customHeight="1" thickBot="1">
      <c r="A83" s="2"/>
      <c r="B83" s="476"/>
      <c r="D83" s="129"/>
      <c r="E83" s="129"/>
      <c r="F83" s="19"/>
      <c r="G83" s="441"/>
      <c r="H83" s="19"/>
      <c r="I83" s="19"/>
      <c r="J83" s="19"/>
      <c r="K83" s="22"/>
      <c r="L83" s="148" t="s">
        <v>2</v>
      </c>
      <c r="M83" s="328">
        <f>重み!M103</f>
        <v>0.5</v>
      </c>
      <c r="N83" s="284"/>
      <c r="O83" s="284">
        <f t="shared" ref="O83:V83" si="5">C83</f>
        <v>0</v>
      </c>
      <c r="P83" s="284">
        <f t="shared" si="5"/>
        <v>0</v>
      </c>
      <c r="Q83" s="284">
        <f t="shared" si="5"/>
        <v>0</v>
      </c>
      <c r="R83" s="284">
        <f t="shared" si="5"/>
        <v>0</v>
      </c>
      <c r="S83" s="284">
        <f t="shared" si="5"/>
        <v>0</v>
      </c>
      <c r="T83" s="284">
        <f t="shared" si="5"/>
        <v>0</v>
      </c>
      <c r="U83" s="284">
        <f t="shared" si="5"/>
        <v>0</v>
      </c>
      <c r="V83" s="284">
        <f t="shared" si="5"/>
        <v>0</v>
      </c>
      <c r="W83" s="284" t="str">
        <f>L83</f>
        <v>重み係数＝</v>
      </c>
      <c r="X83" s="284">
        <f>M83</f>
        <v>0.5</v>
      </c>
      <c r="Y83" s="113"/>
    </row>
    <row r="84" spans="1:25" ht="16.5" customHeight="1" thickBot="1">
      <c r="A84" s="2"/>
      <c r="B84" s="475"/>
      <c r="C84" s="137"/>
      <c r="D84" s="865">
        <f>IF(E92="",1,IF(COUNTIF(E93:E94,U4)&gt;1,5,IF(COUNTIF(E93:E94,U4)&gt;0,4,3)))</f>
        <v>5</v>
      </c>
      <c r="E84" s="2934" t="s">
        <v>415</v>
      </c>
      <c r="F84" s="2935"/>
      <c r="G84" s="2935"/>
      <c r="H84" s="2935"/>
      <c r="I84" s="2935"/>
      <c r="J84" s="2935"/>
      <c r="K84" s="2935"/>
      <c r="L84" s="2935"/>
      <c r="M84" s="2936"/>
      <c r="N84" s="284"/>
      <c r="O84" s="284"/>
      <c r="P84" s="284"/>
      <c r="Q84" s="284"/>
      <c r="R84" s="284"/>
      <c r="S84" s="284"/>
      <c r="T84" s="113"/>
      <c r="U84" s="113"/>
      <c r="V84" s="113"/>
      <c r="W84" s="113"/>
      <c r="X84" s="113"/>
      <c r="Y84" s="113"/>
    </row>
    <row r="85" spans="1:25" ht="16.5" customHeight="1">
      <c r="A85" s="2"/>
      <c r="B85" s="475"/>
      <c r="C85" s="137"/>
      <c r="D85" s="25" t="str">
        <f>IF(D84=$Q$90,$R$85,IF(ROUNDDOWN(D84,0)=$Q$85,$S$85,$R$85))</f>
        <v>　レベル　1</v>
      </c>
      <c r="E85" s="438" t="s">
        <v>325</v>
      </c>
      <c r="F85" s="436"/>
      <c r="G85" s="436"/>
      <c r="H85" s="436"/>
      <c r="I85" s="436"/>
      <c r="J85" s="436"/>
      <c r="K85" s="436"/>
      <c r="L85" s="436"/>
      <c r="M85" s="437"/>
      <c r="N85" s="284"/>
      <c r="O85" s="284"/>
      <c r="P85" s="337">
        <f>$Q$85</f>
        <v>1</v>
      </c>
      <c r="Q85" s="276">
        <v>1</v>
      </c>
      <c r="R85" s="279" t="s">
        <v>486</v>
      </c>
      <c r="S85" s="277" t="s">
        <v>82</v>
      </c>
      <c r="T85" s="113"/>
      <c r="U85" s="337">
        <f>$Q$85</f>
        <v>1</v>
      </c>
      <c r="V85" s="113"/>
      <c r="W85" s="113"/>
      <c r="X85" s="113"/>
      <c r="Y85" s="113"/>
    </row>
    <row r="86" spans="1:25" ht="16.5" customHeight="1">
      <c r="A86" s="2"/>
      <c r="B86" s="475"/>
      <c r="C86" s="137"/>
      <c r="D86" s="28" t="str">
        <f>IF(D84=$Q$90,$R$86,IF(ROUNDDOWN(D84,0)=$Q$86,$S$86,$R$86))</f>
        <v>　レベル　2</v>
      </c>
      <c r="E86" s="439" t="s">
        <v>409</v>
      </c>
      <c r="F86" s="430"/>
      <c r="G86" s="430"/>
      <c r="H86" s="430"/>
      <c r="I86" s="430"/>
      <c r="J86" s="430"/>
      <c r="K86" s="430"/>
      <c r="L86" s="430"/>
      <c r="M86" s="431"/>
      <c r="N86" s="284"/>
      <c r="O86" s="284"/>
      <c r="P86" s="337" t="s">
        <v>55</v>
      </c>
      <c r="Q86" s="276">
        <v>2</v>
      </c>
      <c r="R86" s="279" t="s">
        <v>487</v>
      </c>
      <c r="S86" s="277" t="s">
        <v>83</v>
      </c>
      <c r="T86" s="113"/>
      <c r="U86" s="337">
        <f>$Q$86</f>
        <v>2</v>
      </c>
      <c r="V86" s="113"/>
      <c r="W86" s="113"/>
      <c r="X86" s="113"/>
      <c r="Y86" s="113"/>
    </row>
    <row r="87" spans="1:25" ht="16.5" customHeight="1">
      <c r="A87" s="2"/>
      <c r="B87" s="475"/>
      <c r="C87" s="137"/>
      <c r="D87" s="28" t="str">
        <f>IF(D84=$Q$90,$R$87,IF(ROUNDDOWN(D84,0)=$Q$87,$S$87,$R$87))</f>
        <v>　レベル　3</v>
      </c>
      <c r="E87" s="439" t="s">
        <v>967</v>
      </c>
      <c r="F87" s="430"/>
      <c r="G87" s="430"/>
      <c r="H87" s="430"/>
      <c r="I87" s="430"/>
      <c r="J87" s="430"/>
      <c r="K87" s="430"/>
      <c r="L87" s="430"/>
      <c r="M87" s="431"/>
      <c r="N87" s="284"/>
      <c r="O87" s="284"/>
      <c r="P87" s="337">
        <f>$Q$87</f>
        <v>3</v>
      </c>
      <c r="Q87" s="276">
        <v>3</v>
      </c>
      <c r="R87" s="279" t="s">
        <v>488</v>
      </c>
      <c r="S87" s="277" t="s">
        <v>84</v>
      </c>
      <c r="T87" s="113"/>
      <c r="U87" s="337">
        <f>$Q$87</f>
        <v>3</v>
      </c>
      <c r="V87" s="113"/>
      <c r="W87" s="113"/>
      <c r="X87" s="113"/>
      <c r="Y87" s="113"/>
    </row>
    <row r="88" spans="1:25" ht="16.5" customHeight="1">
      <c r="A88" s="2"/>
      <c r="B88" s="475"/>
      <c r="C88" s="137"/>
      <c r="D88" s="28" t="str">
        <f>IF(D84=$Q$90,$R$88,IF(ROUNDDOWN(D84,0)=$Q$88,$S$88,$R$88))</f>
        <v>　レベル　4</v>
      </c>
      <c r="E88" s="451" t="s">
        <v>968</v>
      </c>
      <c r="F88" s="450"/>
      <c r="G88" s="450"/>
      <c r="H88" s="450"/>
      <c r="I88" s="450"/>
      <c r="J88" s="450"/>
      <c r="K88" s="450"/>
      <c r="L88" s="450"/>
      <c r="M88" s="454"/>
      <c r="N88" s="284"/>
      <c r="O88" s="284"/>
      <c r="P88" s="337">
        <f>$Q$88</f>
        <v>4</v>
      </c>
      <c r="Q88" s="276">
        <v>4</v>
      </c>
      <c r="R88" s="279" t="s">
        <v>489</v>
      </c>
      <c r="S88" s="277" t="s">
        <v>85</v>
      </c>
      <c r="T88" s="113"/>
      <c r="U88" s="337">
        <f>$Q$88</f>
        <v>4</v>
      </c>
      <c r="V88" s="113"/>
      <c r="W88" s="113"/>
      <c r="X88" s="113"/>
      <c r="Y88" s="113"/>
    </row>
    <row r="89" spans="1:25" ht="16.5" customHeight="1">
      <c r="A89" s="2"/>
      <c r="B89" s="475"/>
      <c r="C89" s="137"/>
      <c r="D89" s="26" t="str">
        <f>IF(D84=$Q$90,$R$89,IF(ROUNDDOWN(D84,0)=$Q$89,$S$89,$R$89))</f>
        <v>■レベル　5</v>
      </c>
      <c r="E89" s="473" t="s">
        <v>969</v>
      </c>
      <c r="F89" s="459"/>
      <c r="G89" s="459"/>
      <c r="H89" s="459"/>
      <c r="I89" s="459"/>
      <c r="J89" s="459"/>
      <c r="K89" s="459"/>
      <c r="L89" s="459"/>
      <c r="M89" s="648"/>
      <c r="N89" s="284"/>
      <c r="O89" s="284"/>
      <c r="P89" s="337">
        <f>$Q$89</f>
        <v>5</v>
      </c>
      <c r="Q89" s="276">
        <v>5</v>
      </c>
      <c r="R89" s="279" t="s">
        <v>490</v>
      </c>
      <c r="S89" s="277" t="s">
        <v>86</v>
      </c>
      <c r="T89" s="113"/>
      <c r="U89" s="337">
        <f>$Q$89</f>
        <v>5</v>
      </c>
      <c r="V89" s="113"/>
      <c r="W89" s="113"/>
      <c r="X89" s="113"/>
      <c r="Y89" s="113"/>
    </row>
    <row r="90" spans="1:25" ht="16.5" customHeight="1">
      <c r="A90" s="2"/>
      <c r="B90" s="475"/>
      <c r="C90" s="137"/>
      <c r="D90" s="29"/>
      <c r="E90" s="127" t="s">
        <v>35</v>
      </c>
      <c r="F90" s="19"/>
      <c r="G90" s="126"/>
      <c r="H90" s="32"/>
      <c r="I90" s="32"/>
      <c r="J90" s="19"/>
      <c r="K90" s="19"/>
      <c r="L90" s="19"/>
      <c r="M90" s="19"/>
      <c r="N90" s="284"/>
      <c r="O90" s="284"/>
      <c r="P90" s="337" t="s">
        <v>68</v>
      </c>
      <c r="Q90" s="284" t="s">
        <v>87</v>
      </c>
      <c r="T90" s="113"/>
      <c r="U90" s="337" t="str">
        <f>$Q$90</f>
        <v>対象外</v>
      </c>
      <c r="V90" s="113"/>
      <c r="W90" s="113"/>
      <c r="X90" s="113"/>
      <c r="Y90" s="113"/>
    </row>
    <row r="91" spans="1:25" ht="16.5" customHeight="1" thickBot="1">
      <c r="A91" s="2"/>
      <c r="B91" s="475"/>
      <c r="C91" s="137"/>
      <c r="E91" s="461" t="s">
        <v>351</v>
      </c>
      <c r="F91" s="428" t="s">
        <v>78</v>
      </c>
      <c r="G91" s="3003" t="s">
        <v>686</v>
      </c>
      <c r="H91" s="3004"/>
      <c r="I91" s="3004"/>
      <c r="J91" s="3004"/>
      <c r="K91" s="3004"/>
      <c r="L91" s="3004"/>
      <c r="M91" s="3005"/>
      <c r="N91" s="284"/>
      <c r="O91" s="284"/>
      <c r="P91" s="284"/>
      <c r="R91" s="284"/>
      <c r="S91" s="284"/>
      <c r="T91" s="284"/>
      <c r="U91" s="284"/>
      <c r="V91" s="284"/>
      <c r="W91" s="113"/>
      <c r="X91" s="113"/>
      <c r="Y91" s="113"/>
    </row>
    <row r="92" spans="1:25" ht="57" customHeight="1">
      <c r="A92" s="2"/>
      <c r="B92" s="475"/>
      <c r="C92" s="137"/>
      <c r="E92" s="676" t="s">
        <v>687</v>
      </c>
      <c r="F92" s="428" t="s">
        <v>202</v>
      </c>
      <c r="G92" s="3018" t="s">
        <v>970</v>
      </c>
      <c r="H92" s="3019"/>
      <c r="I92" s="3019"/>
      <c r="J92" s="3019"/>
      <c r="K92" s="3019"/>
      <c r="L92" s="3019"/>
      <c r="M92" s="3020"/>
      <c r="N92" s="284"/>
      <c r="O92" s="284"/>
      <c r="P92" s="284"/>
      <c r="R92" s="284"/>
      <c r="S92" s="284"/>
      <c r="T92" s="284"/>
      <c r="U92" s="284"/>
      <c r="V92" s="284"/>
      <c r="W92" s="113"/>
      <c r="X92" s="113"/>
      <c r="Y92" s="113"/>
    </row>
    <row r="93" spans="1:25" ht="63" customHeight="1">
      <c r="A93" s="2"/>
      <c r="B93" s="475"/>
      <c r="C93" s="137"/>
      <c r="E93" s="640" t="s">
        <v>687</v>
      </c>
      <c r="F93" s="428">
        <v>1</v>
      </c>
      <c r="G93" s="2937" t="s">
        <v>28</v>
      </c>
      <c r="H93" s="2939"/>
      <c r="I93" s="2937" t="s">
        <v>164</v>
      </c>
      <c r="J93" s="2938"/>
      <c r="K93" s="2938"/>
      <c r="L93" s="2938"/>
      <c r="M93" s="2939"/>
      <c r="N93" s="284"/>
      <c r="O93" s="284"/>
      <c r="P93" s="284"/>
      <c r="R93" s="284"/>
      <c r="S93" s="284"/>
      <c r="T93" s="284"/>
      <c r="U93" s="284"/>
      <c r="V93" s="284"/>
      <c r="W93" s="113"/>
      <c r="X93" s="113"/>
      <c r="Y93" s="113"/>
    </row>
    <row r="94" spans="1:25" ht="63" customHeight="1" thickBot="1">
      <c r="A94" s="2"/>
      <c r="B94" s="475"/>
      <c r="C94" s="137"/>
      <c r="E94" s="331" t="s">
        <v>687</v>
      </c>
      <c r="F94" s="472">
        <v>2</v>
      </c>
      <c r="G94" s="2963" t="s">
        <v>29</v>
      </c>
      <c r="H94" s="2965"/>
      <c r="I94" s="2963" t="s">
        <v>673</v>
      </c>
      <c r="J94" s="2964"/>
      <c r="K94" s="2964"/>
      <c r="L94" s="2964"/>
      <c r="M94" s="2965"/>
      <c r="N94" s="284"/>
      <c r="O94" s="284"/>
      <c r="P94"/>
      <c r="Q94"/>
      <c r="R94" s="284"/>
      <c r="S94" s="284"/>
      <c r="T94" s="284"/>
      <c r="U94" s="284"/>
      <c r="V94" s="284"/>
      <c r="W94" s="113"/>
      <c r="X94" s="113"/>
      <c r="Y94" s="113"/>
    </row>
    <row r="95" spans="1:25" s="29" customFormat="1" ht="8.25" customHeight="1">
      <c r="A95" s="19"/>
      <c r="B95" s="137"/>
      <c r="C95" s="504"/>
      <c r="D95" s="270"/>
      <c r="E95" s="270"/>
      <c r="F95" s="2"/>
      <c r="G95" s="2"/>
      <c r="H95" s="2"/>
      <c r="I95" s="2"/>
      <c r="J95" s="2"/>
      <c r="K95" s="2"/>
      <c r="L95" s="2"/>
      <c r="M95" s="2"/>
      <c r="N95" s="22"/>
      <c r="P95"/>
      <c r="Q95"/>
      <c r="R95" s="4"/>
      <c r="S95" s="4"/>
      <c r="T95" s="113"/>
    </row>
    <row r="96" spans="1:25" s="29" customFormat="1" ht="21" customHeight="1">
      <c r="A96" s="19"/>
      <c r="B96" s="137"/>
      <c r="C96" s="504"/>
      <c r="E96" s="646" t="s">
        <v>3</v>
      </c>
      <c r="F96" s="647"/>
      <c r="G96" s="2441"/>
      <c r="H96" s="2442"/>
      <c r="I96" s="990"/>
      <c r="J96" s="990"/>
      <c r="K96" s="990"/>
      <c r="L96" s="990"/>
      <c r="M96" s="991"/>
      <c r="N96" s="22"/>
      <c r="P96"/>
      <c r="Q96"/>
      <c r="R96" s="4"/>
      <c r="S96" s="4"/>
      <c r="T96" s="113"/>
      <c r="U96" s="511"/>
      <c r="V96" s="113"/>
      <c r="W96" s="113"/>
      <c r="X96" s="113"/>
      <c r="Y96" s="113"/>
    </row>
    <row r="97" spans="1:251">
      <c r="A97" s="2"/>
      <c r="B97" s="475"/>
      <c r="C97" s="137"/>
      <c r="D97" s="137"/>
      <c r="E97" s="137"/>
      <c r="F97" s="137"/>
      <c r="G97" s="137"/>
      <c r="H97" s="137"/>
      <c r="I97" s="24"/>
      <c r="J97" s="137"/>
      <c r="K97" s="137"/>
      <c r="L97" s="137"/>
      <c r="M97" s="137"/>
      <c r="N97" s="284"/>
      <c r="O97" s="284"/>
      <c r="P97" s="284"/>
      <c r="Q97" s="412"/>
      <c r="R97" s="413"/>
      <c r="S97" s="403"/>
      <c r="T97" s="113"/>
      <c r="U97" s="414"/>
      <c r="V97" s="113"/>
      <c r="W97" s="113"/>
      <c r="X97" s="113"/>
      <c r="Y97" s="113"/>
    </row>
    <row r="98" spans="1:251">
      <c r="A98" s="2"/>
      <c r="B98" s="513">
        <v>3.2</v>
      </c>
      <c r="C98" s="23" t="s">
        <v>76</v>
      </c>
      <c r="D98" s="23"/>
      <c r="E98" s="137"/>
      <c r="F98" s="137"/>
      <c r="G98" s="137"/>
      <c r="H98" s="137"/>
      <c r="I98" s="24"/>
      <c r="J98" s="137"/>
      <c r="K98" s="137"/>
      <c r="L98" s="137"/>
      <c r="M98" s="137"/>
      <c r="N98" s="284"/>
      <c r="O98" s="284"/>
      <c r="P98" s="284"/>
      <c r="Q98" s="412"/>
      <c r="R98" s="413"/>
      <c r="S98" s="403"/>
      <c r="T98" s="113"/>
      <c r="U98" s="414"/>
      <c r="V98" s="113"/>
      <c r="W98" s="113"/>
      <c r="X98" s="113"/>
      <c r="Y98" s="113"/>
    </row>
    <row r="99" spans="1:251" ht="16.5" customHeight="1" thickBot="1">
      <c r="A99" s="2"/>
      <c r="B99" s="476"/>
      <c r="E99" s="137"/>
      <c r="F99" s="137"/>
      <c r="G99" s="137"/>
      <c r="H99" s="137"/>
      <c r="I99" s="137"/>
      <c r="J99" s="137"/>
      <c r="K99" s="22"/>
      <c r="L99" s="148" t="s">
        <v>2</v>
      </c>
      <c r="M99" s="328">
        <f>重み!M104</f>
        <v>0.5</v>
      </c>
      <c r="N99" s="284"/>
      <c r="O99" s="284">
        <f>C99</f>
        <v>0</v>
      </c>
      <c r="P99" s="284">
        <f t="shared" ref="P99:V99" si="6">D99</f>
        <v>0</v>
      </c>
      <c r="Q99" s="284">
        <f t="shared" si="6"/>
        <v>0</v>
      </c>
      <c r="R99" s="284">
        <f t="shared" si="6"/>
        <v>0</v>
      </c>
      <c r="S99" s="284">
        <f t="shared" si="6"/>
        <v>0</v>
      </c>
      <c r="T99" s="284">
        <f t="shared" si="6"/>
        <v>0</v>
      </c>
      <c r="U99" s="284">
        <f t="shared" si="6"/>
        <v>0</v>
      </c>
      <c r="V99" s="284">
        <f t="shared" si="6"/>
        <v>0</v>
      </c>
      <c r="W99" s="284" t="str">
        <f>L99</f>
        <v>重み係数＝</v>
      </c>
      <c r="X99" s="284">
        <f>M99</f>
        <v>0.5</v>
      </c>
      <c r="Y99" s="284">
        <f>N99</f>
        <v>0</v>
      </c>
    </row>
    <row r="100" spans="1:251" ht="16.5" customHeight="1" thickBot="1">
      <c r="A100" s="19"/>
      <c r="B100" s="475"/>
      <c r="C100" s="137"/>
      <c r="D100" s="865">
        <f>ROUND(IF(F114=0,3,IF(F114&lt;=1,4,5)),0)</f>
        <v>5</v>
      </c>
      <c r="E100" s="2934" t="s">
        <v>415</v>
      </c>
      <c r="F100" s="2935"/>
      <c r="G100" s="2935"/>
      <c r="H100" s="2935"/>
      <c r="I100" s="2935"/>
      <c r="J100" s="2935"/>
      <c r="K100" s="2935"/>
      <c r="L100" s="2935"/>
      <c r="M100" s="2936"/>
      <c r="N100" s="284"/>
      <c r="O100" s="284"/>
      <c r="P100" s="284"/>
      <c r="V100" s="113"/>
      <c r="W100" s="113"/>
      <c r="X100" s="113"/>
      <c r="Y100" s="113"/>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86"/>
      <c r="CY100" s="286"/>
      <c r="CZ100" s="286"/>
      <c r="DA100" s="286"/>
      <c r="DB100" s="286"/>
      <c r="DC100" s="286"/>
      <c r="DD100" s="286"/>
      <c r="DE100" s="286"/>
      <c r="DF100" s="286"/>
      <c r="DG100" s="286"/>
      <c r="DH100" s="286"/>
      <c r="DI100" s="286"/>
      <c r="DJ100" s="286"/>
      <c r="DK100" s="286"/>
      <c r="DL100" s="286"/>
      <c r="DM100" s="286"/>
      <c r="DN100" s="286"/>
      <c r="DO100" s="286"/>
      <c r="DP100" s="286"/>
      <c r="DQ100" s="286"/>
      <c r="DR100" s="286"/>
      <c r="DS100" s="286"/>
      <c r="DT100" s="286"/>
      <c r="DU100" s="286"/>
      <c r="DV100" s="286"/>
      <c r="DW100" s="286"/>
      <c r="DX100" s="286"/>
      <c r="DY100" s="286"/>
      <c r="DZ100" s="286"/>
      <c r="EA100" s="286"/>
      <c r="EB100" s="286"/>
      <c r="EC100" s="286"/>
      <c r="ED100" s="286"/>
      <c r="EE100" s="286"/>
      <c r="EF100" s="286"/>
      <c r="EG100" s="286"/>
      <c r="EH100" s="286"/>
      <c r="EI100" s="286"/>
      <c r="EJ100" s="286"/>
      <c r="EK100" s="286"/>
      <c r="EL100" s="286"/>
      <c r="EM100" s="286"/>
      <c r="EN100" s="286"/>
      <c r="EO100" s="286"/>
      <c r="EP100" s="286"/>
      <c r="EQ100" s="286"/>
      <c r="ER100" s="286"/>
      <c r="ES100" s="286"/>
      <c r="ET100" s="286"/>
      <c r="EU100" s="286"/>
      <c r="EV100" s="286"/>
      <c r="EW100" s="286"/>
      <c r="EX100" s="286"/>
      <c r="EY100" s="286"/>
      <c r="EZ100" s="286"/>
      <c r="FA100" s="286"/>
      <c r="FB100" s="286"/>
      <c r="FC100" s="286"/>
      <c r="FD100" s="286"/>
      <c r="FE100" s="286"/>
      <c r="FF100" s="286"/>
      <c r="FG100" s="286"/>
      <c r="FH100" s="286"/>
      <c r="FI100" s="286"/>
      <c r="FJ100" s="286"/>
      <c r="FK100" s="286"/>
      <c r="FL100" s="286"/>
      <c r="FM100" s="286"/>
      <c r="FN100" s="286"/>
      <c r="FO100" s="286"/>
      <c r="FP100" s="286"/>
      <c r="FQ100" s="286"/>
      <c r="FR100" s="286"/>
      <c r="FS100" s="286"/>
      <c r="FT100" s="286"/>
      <c r="FU100" s="286"/>
      <c r="FV100" s="286"/>
      <c r="FW100" s="286"/>
      <c r="FX100" s="286"/>
      <c r="FY100" s="286"/>
      <c r="FZ100" s="286"/>
      <c r="GA100" s="286"/>
      <c r="GB100" s="286"/>
      <c r="GC100" s="286"/>
      <c r="GD100" s="286"/>
      <c r="GE100" s="286"/>
      <c r="GF100" s="286"/>
      <c r="GG100" s="286"/>
      <c r="GH100" s="286"/>
      <c r="GI100" s="286"/>
      <c r="GJ100" s="286"/>
      <c r="GK100" s="286"/>
      <c r="GL100" s="286"/>
      <c r="GM100" s="286"/>
      <c r="GN100" s="286"/>
      <c r="GO100" s="286"/>
      <c r="GP100" s="286"/>
      <c r="GQ100" s="286"/>
      <c r="GR100" s="286"/>
      <c r="GS100" s="286"/>
      <c r="GT100" s="286"/>
      <c r="GU100" s="286"/>
      <c r="GV100" s="286"/>
      <c r="GW100" s="286"/>
      <c r="GX100" s="286"/>
      <c r="GY100" s="286"/>
      <c r="GZ100" s="286"/>
      <c r="HA100" s="286"/>
      <c r="HB100" s="286"/>
      <c r="HC100" s="286"/>
      <c r="HD100" s="286"/>
      <c r="HE100" s="286"/>
      <c r="HF100" s="286"/>
      <c r="HG100" s="286"/>
      <c r="HH100" s="286"/>
      <c r="HI100" s="286"/>
      <c r="HJ100" s="286"/>
      <c r="HK100" s="286"/>
      <c r="HL100" s="286"/>
      <c r="HM100" s="286"/>
      <c r="HN100" s="286"/>
      <c r="HO100" s="286"/>
      <c r="HP100" s="286"/>
      <c r="HQ100" s="286"/>
      <c r="HR100" s="286"/>
      <c r="HS100" s="286"/>
      <c r="HT100" s="286"/>
      <c r="HU100" s="286"/>
      <c r="HV100" s="286"/>
      <c r="HW100" s="286"/>
      <c r="HX100" s="286"/>
      <c r="HY100" s="286"/>
      <c r="HZ100" s="286"/>
      <c r="IA100" s="286"/>
      <c r="IB100" s="286"/>
      <c r="IC100" s="286"/>
      <c r="ID100" s="286"/>
      <c r="IE100" s="286"/>
      <c r="IF100" s="286"/>
      <c r="IG100" s="286"/>
      <c r="IH100" s="286"/>
      <c r="II100" s="286"/>
      <c r="IJ100" s="286"/>
      <c r="IK100" s="286"/>
      <c r="IL100" s="286"/>
      <c r="IM100" s="286"/>
      <c r="IN100" s="286"/>
      <c r="IO100" s="286"/>
      <c r="IP100" s="286"/>
      <c r="IQ100" s="286"/>
    </row>
    <row r="101" spans="1:251" s="29" customFormat="1" ht="16.5" customHeight="1">
      <c r="A101" s="19"/>
      <c r="B101" s="475"/>
      <c r="C101" s="137"/>
      <c r="D101" s="415" t="str">
        <f>IF(D100=$Q$90,$R$85,IF(ROUNDDOWN(D100,0)=$Q$85,$S$85,$R$85))</f>
        <v>　レベル　1</v>
      </c>
      <c r="E101" s="452" t="s">
        <v>409</v>
      </c>
      <c r="F101" s="436"/>
      <c r="G101" s="436"/>
      <c r="H101" s="436"/>
      <c r="I101" s="436"/>
      <c r="J101" s="436"/>
      <c r="K101" s="436"/>
      <c r="L101" s="436"/>
      <c r="M101" s="437"/>
      <c r="N101" s="284"/>
      <c r="O101" s="284"/>
      <c r="P101" s="337" t="s">
        <v>55</v>
      </c>
      <c r="U101" s="337">
        <f>$Q$85</f>
        <v>1</v>
      </c>
    </row>
    <row r="102" spans="1:251" s="29" customFormat="1" ht="16.5" customHeight="1">
      <c r="A102" s="19"/>
      <c r="B102" s="475"/>
      <c r="C102" s="137"/>
      <c r="D102" s="415" t="str">
        <f>IF(D100=$Q$90,$R$86,IF(ROUNDDOWN(D100,0)=$Q$86,$S$86,$R$86))</f>
        <v>　レベル　2</v>
      </c>
      <c r="E102" s="451" t="s">
        <v>409</v>
      </c>
      <c r="F102" s="430"/>
      <c r="G102" s="430"/>
      <c r="H102" s="430"/>
      <c r="I102" s="430"/>
      <c r="J102" s="430"/>
      <c r="K102" s="430"/>
      <c r="L102" s="430"/>
      <c r="M102" s="431"/>
      <c r="N102" s="284"/>
      <c r="O102" s="284"/>
      <c r="P102" s="337" t="s">
        <v>55</v>
      </c>
      <c r="U102" s="337">
        <f>$Q$86</f>
        <v>2</v>
      </c>
    </row>
    <row r="103" spans="1:251" s="29" customFormat="1" ht="16.5" customHeight="1">
      <c r="A103" s="19"/>
      <c r="B103" s="475"/>
      <c r="C103" s="137"/>
      <c r="D103" s="415" t="str">
        <f>IF(D100=$Q$90,$R$87,IF(ROUNDDOWN(D100,0)=$Q$87,$S$87,$R$87))</f>
        <v>　レベル　3</v>
      </c>
      <c r="E103" s="451" t="s">
        <v>77</v>
      </c>
      <c r="F103" s="430"/>
      <c r="G103" s="430"/>
      <c r="H103" s="430"/>
      <c r="I103" s="430"/>
      <c r="J103" s="430"/>
      <c r="K103" s="430"/>
      <c r="L103" s="430"/>
      <c r="M103" s="431"/>
      <c r="N103" s="284"/>
      <c r="O103" s="284"/>
      <c r="P103" s="337">
        <f>$Q$87</f>
        <v>3</v>
      </c>
      <c r="U103" s="337">
        <f>$Q$87</f>
        <v>3</v>
      </c>
    </row>
    <row r="104" spans="1:251" s="29" customFormat="1" ht="16.5" customHeight="1">
      <c r="A104" s="19"/>
      <c r="B104" s="475"/>
      <c r="C104" s="137"/>
      <c r="D104" s="415" t="str">
        <f>IF(D100=$Q$90,$R$88,IF(ROUNDDOWN(D100,0)=$Q$88,$S$88,$R$88))</f>
        <v>　レベル　4</v>
      </c>
      <c r="E104" s="451" t="s">
        <v>158</v>
      </c>
      <c r="F104" s="2626"/>
      <c r="G104" s="2626"/>
      <c r="H104" s="2626"/>
      <c r="I104" s="2626"/>
      <c r="J104" s="2626"/>
      <c r="K104" s="2626"/>
      <c r="L104" s="2626"/>
      <c r="M104" s="2627"/>
      <c r="N104" s="284"/>
      <c r="O104" s="284"/>
      <c r="P104" s="337">
        <f>$Q$88</f>
        <v>4</v>
      </c>
      <c r="U104" s="337">
        <f>$Q$88</f>
        <v>4</v>
      </c>
    </row>
    <row r="105" spans="1:251" s="29" customFormat="1" ht="16.5" customHeight="1">
      <c r="A105" s="19"/>
      <c r="B105" s="475"/>
      <c r="C105" s="137"/>
      <c r="D105" s="416" t="str">
        <f>IF(D100=$Q$90,$R$89,IF(ROUNDDOWN(D100,0)=$Q$89,$S$89,$R$89))</f>
        <v>■レベル　5</v>
      </c>
      <c r="E105" s="473" t="s">
        <v>159</v>
      </c>
      <c r="F105" s="2628"/>
      <c r="G105" s="2628"/>
      <c r="H105" s="2628"/>
      <c r="I105" s="2628"/>
      <c r="J105" s="2628"/>
      <c r="K105" s="2628"/>
      <c r="L105" s="2628"/>
      <c r="M105" s="2629"/>
      <c r="N105" s="284"/>
      <c r="O105" s="284"/>
      <c r="P105" s="337">
        <f>$Q$89</f>
        <v>5</v>
      </c>
      <c r="U105" s="337">
        <f>$Q$89</f>
        <v>5</v>
      </c>
    </row>
    <row r="106" spans="1:251" s="29" customFormat="1" ht="16.5" customHeight="1">
      <c r="A106" s="19"/>
      <c r="B106" s="475"/>
      <c r="C106" s="137"/>
      <c r="D106" s="434"/>
      <c r="E106" s="127" t="s">
        <v>423</v>
      </c>
      <c r="F106" s="19"/>
      <c r="G106" s="126"/>
      <c r="H106" s="32"/>
      <c r="I106" s="32"/>
      <c r="J106" s="19"/>
      <c r="K106" s="19"/>
      <c r="L106" s="19"/>
      <c r="M106" s="19"/>
      <c r="O106" s="284"/>
      <c r="P106" s="337" t="s">
        <v>68</v>
      </c>
      <c r="Q106" s="284" t="s">
        <v>87</v>
      </c>
      <c r="U106" s="337" t="str">
        <f>$Q$90</f>
        <v>対象外</v>
      </c>
    </row>
    <row r="107" spans="1:251" ht="16.5" customHeight="1" thickBot="1">
      <c r="A107" s="2"/>
      <c r="B107" s="475"/>
      <c r="C107" s="137"/>
      <c r="D107" s="137"/>
      <c r="E107" s="119" t="s">
        <v>351</v>
      </c>
      <c r="F107" s="428" t="s">
        <v>78</v>
      </c>
      <c r="G107" s="424"/>
      <c r="H107" s="447" t="s">
        <v>80</v>
      </c>
      <c r="I107" s="447"/>
      <c r="J107" s="447"/>
      <c r="K107" s="447"/>
      <c r="L107" s="447"/>
      <c r="M107" s="448"/>
      <c r="N107" s="29"/>
      <c r="O107" s="284"/>
      <c r="P107" s="284"/>
      <c r="Q107" s="284"/>
      <c r="R107" s="284"/>
      <c r="S107" s="284"/>
      <c r="T107" s="284"/>
      <c r="U107" s="284"/>
      <c r="V107" s="284"/>
      <c r="W107" s="284"/>
      <c r="X107" s="284"/>
      <c r="Y107" s="284"/>
    </row>
    <row r="108" spans="1:251" ht="23.25" customHeight="1">
      <c r="A108" s="2"/>
      <c r="B108" s="475"/>
      <c r="C108" s="137"/>
      <c r="D108" s="137"/>
      <c r="E108" s="330" t="s">
        <v>687</v>
      </c>
      <c r="F108" s="429">
        <v>1</v>
      </c>
      <c r="G108" s="2943" t="s">
        <v>160</v>
      </c>
      <c r="H108" s="2944"/>
      <c r="I108" s="2937" t="s">
        <v>636</v>
      </c>
      <c r="J108" s="2938"/>
      <c r="K108" s="2938"/>
      <c r="L108" s="2938"/>
      <c r="M108" s="2939"/>
      <c r="N108" s="29"/>
      <c r="O108" s="284"/>
      <c r="P108" s="284"/>
      <c r="Q108" s="284"/>
      <c r="R108" s="284"/>
      <c r="S108" s="284"/>
      <c r="T108" s="284"/>
      <c r="U108" s="284"/>
      <c r="V108" s="284"/>
      <c r="W108" s="284"/>
      <c r="X108" s="284"/>
      <c r="Y108" s="284"/>
    </row>
    <row r="109" spans="1:251" ht="23.25" customHeight="1">
      <c r="A109" s="2"/>
      <c r="B109" s="475"/>
      <c r="C109" s="137"/>
      <c r="D109" s="137"/>
      <c r="E109" s="616"/>
      <c r="F109" s="1096">
        <v>2</v>
      </c>
      <c r="G109" s="3114" t="s">
        <v>637</v>
      </c>
      <c r="H109" s="3115"/>
      <c r="I109" s="2967" t="s">
        <v>638</v>
      </c>
      <c r="J109" s="2980"/>
      <c r="K109" s="2980"/>
      <c r="L109" s="2980"/>
      <c r="M109" s="2981"/>
      <c r="N109" s="29"/>
      <c r="O109" s="284"/>
      <c r="P109" s="284"/>
      <c r="Q109" s="284"/>
      <c r="R109" s="284"/>
      <c r="S109" s="284"/>
      <c r="T109" s="284"/>
      <c r="U109" s="284"/>
      <c r="V109" s="284"/>
      <c r="W109" s="284"/>
      <c r="X109" s="284"/>
      <c r="Y109" s="284"/>
    </row>
    <row r="110" spans="1:251" ht="23.25" customHeight="1">
      <c r="A110" s="2"/>
      <c r="B110" s="475"/>
      <c r="C110" s="137"/>
      <c r="D110" s="137"/>
      <c r="E110" s="3031" t="s">
        <v>687</v>
      </c>
      <c r="F110" s="2958">
        <v>3</v>
      </c>
      <c r="G110" s="3114" t="s">
        <v>674</v>
      </c>
      <c r="H110" s="3115"/>
      <c r="I110" s="2967" t="s">
        <v>639</v>
      </c>
      <c r="J110" s="2980"/>
      <c r="K110" s="2980"/>
      <c r="L110" s="2980"/>
      <c r="M110" s="2981"/>
      <c r="N110" s="29"/>
      <c r="O110" s="284"/>
      <c r="P110" s="284"/>
      <c r="Q110" s="284"/>
      <c r="R110" s="284"/>
      <c r="S110" s="284"/>
      <c r="T110" s="284"/>
      <c r="U110" s="284"/>
      <c r="V110" s="284"/>
      <c r="W110" s="284"/>
      <c r="X110" s="284"/>
      <c r="Y110" s="284"/>
    </row>
    <row r="111" spans="1:251" ht="23.25" customHeight="1">
      <c r="A111" s="2"/>
      <c r="B111" s="475"/>
      <c r="C111" s="137"/>
      <c r="D111" s="137"/>
      <c r="E111" s="3030"/>
      <c r="F111" s="2957"/>
      <c r="G111" s="3116"/>
      <c r="H111" s="3117"/>
      <c r="I111" s="2967" t="s">
        <v>640</v>
      </c>
      <c r="J111" s="2980"/>
      <c r="K111" s="2980"/>
      <c r="L111" s="2980"/>
      <c r="M111" s="2981"/>
      <c r="N111" s="29"/>
      <c r="O111" s="284"/>
      <c r="P111" s="284"/>
      <c r="Q111" s="284"/>
      <c r="R111" s="284"/>
      <c r="S111" s="284"/>
      <c r="T111" s="284"/>
      <c r="U111" s="284"/>
      <c r="V111" s="284"/>
      <c r="W111" s="284"/>
      <c r="X111" s="284"/>
      <c r="Y111" s="284"/>
    </row>
    <row r="112" spans="1:251" ht="31.5" customHeight="1">
      <c r="A112" s="2"/>
      <c r="B112" s="475"/>
      <c r="C112" s="137"/>
      <c r="D112" s="137"/>
      <c r="E112" s="3031"/>
      <c r="F112" s="2958">
        <v>4</v>
      </c>
      <c r="G112" s="2945" t="s">
        <v>675</v>
      </c>
      <c r="H112" s="2946"/>
      <c r="I112" s="2967" t="s">
        <v>641</v>
      </c>
      <c r="J112" s="2980"/>
      <c r="K112" s="2980"/>
      <c r="L112" s="2980"/>
      <c r="M112" s="2981"/>
      <c r="N112" s="29"/>
      <c r="O112" s="284"/>
      <c r="P112" s="284"/>
      <c r="Q112" s="284"/>
      <c r="R112" s="284"/>
      <c r="S112" s="284"/>
      <c r="T112" s="284"/>
      <c r="U112" s="284"/>
      <c r="V112" s="284"/>
      <c r="W112" s="284"/>
      <c r="X112" s="284"/>
      <c r="Y112" s="284"/>
    </row>
    <row r="113" spans="1:25" ht="23.25" customHeight="1" thickBot="1">
      <c r="A113" s="2"/>
      <c r="B113" s="475"/>
      <c r="C113" s="137"/>
      <c r="D113" s="137"/>
      <c r="E113" s="2955"/>
      <c r="F113" s="2960"/>
      <c r="G113" s="2947"/>
      <c r="H113" s="2948"/>
      <c r="I113" s="2963" t="s">
        <v>642</v>
      </c>
      <c r="J113" s="2982"/>
      <c r="K113" s="2982"/>
      <c r="L113" s="2982"/>
      <c r="M113" s="2983"/>
      <c r="N113" s="29"/>
      <c r="O113" s="284"/>
      <c r="P113" s="284"/>
      <c r="Q113" s="284"/>
      <c r="R113" s="284"/>
      <c r="S113" s="284"/>
      <c r="T113" s="284"/>
      <c r="U113" s="284"/>
      <c r="V113" s="284"/>
      <c r="W113" s="284"/>
      <c r="X113" s="284"/>
      <c r="Y113" s="284"/>
    </row>
    <row r="114" spans="1:25" ht="16.5" customHeight="1">
      <c r="A114" s="2"/>
      <c r="B114" s="2725"/>
      <c r="C114" s="839"/>
      <c r="D114" s="839"/>
      <c r="E114" s="497" t="s">
        <v>290</v>
      </c>
      <c r="F114" s="838">
        <f>COUNTIF(E108:E113,"○")</f>
        <v>2</v>
      </c>
      <c r="G114" s="845"/>
      <c r="H114" s="845"/>
      <c r="I114" s="118"/>
      <c r="J114" s="118"/>
      <c r="K114" s="118"/>
      <c r="L114" s="405"/>
      <c r="M114" s="456"/>
      <c r="N114" s="29"/>
      <c r="P114"/>
    </row>
    <row r="115" spans="1:25" s="29" customFormat="1" ht="8.25" customHeight="1">
      <c r="A115" s="19"/>
      <c r="B115" s="137"/>
      <c r="C115" s="504"/>
      <c r="D115" s="270"/>
      <c r="E115" s="270"/>
      <c r="F115" s="2"/>
      <c r="G115" s="2"/>
      <c r="H115" s="2"/>
      <c r="I115" s="2"/>
      <c r="J115" s="2"/>
      <c r="K115" s="2"/>
      <c r="L115" s="2"/>
      <c r="M115" s="2"/>
      <c r="N115" s="22"/>
      <c r="P115"/>
      <c r="R115" s="4"/>
      <c r="S115" s="4"/>
      <c r="T115" s="113"/>
    </row>
    <row r="116" spans="1:25" s="29" customFormat="1" ht="21" customHeight="1">
      <c r="A116" s="19"/>
      <c r="B116" s="137"/>
      <c r="C116" s="504"/>
      <c r="E116" s="646" t="s">
        <v>3</v>
      </c>
      <c r="F116" s="647"/>
      <c r="G116" s="2441"/>
      <c r="H116" s="2442"/>
      <c r="I116" s="990"/>
      <c r="J116" s="990"/>
      <c r="K116" s="990"/>
      <c r="L116" s="990"/>
      <c r="M116" s="991"/>
      <c r="N116" s="22"/>
      <c r="P116" s="511"/>
      <c r="Q116" s="284"/>
      <c r="R116" s="4"/>
      <c r="S116" s="4"/>
      <c r="T116" s="113"/>
      <c r="U116" s="511"/>
      <c r="V116" s="113"/>
      <c r="W116" s="113"/>
      <c r="X116" s="113"/>
      <c r="Y116" s="113"/>
    </row>
    <row r="117" spans="1:25">
      <c r="O117" s="284"/>
    </row>
    <row r="118" spans="1:25">
      <c r="O118" s="284"/>
    </row>
    <row r="119" spans="1:25">
      <c r="O119" s="284"/>
    </row>
    <row r="120" spans="1:25">
      <c r="O120" s="284"/>
    </row>
    <row r="121" spans="1:25">
      <c r="O121" s="284"/>
    </row>
    <row r="122" spans="1:25">
      <c r="O122" s="284"/>
    </row>
    <row r="123" spans="1:25">
      <c r="O123" s="284"/>
    </row>
    <row r="124" spans="1:25">
      <c r="O124" s="284"/>
    </row>
    <row r="125" spans="1:25">
      <c r="O125" s="284"/>
    </row>
    <row r="126" spans="1:25">
      <c r="O126" s="284"/>
    </row>
    <row r="127" spans="1:25">
      <c r="O127" s="284"/>
    </row>
    <row r="128" spans="1:25">
      <c r="O128" s="284"/>
    </row>
    <row r="129" spans="15:15">
      <c r="O129" s="284"/>
    </row>
    <row r="130" spans="15:15">
      <c r="O130" s="284"/>
    </row>
    <row r="131" spans="15:15">
      <c r="O131" s="284"/>
    </row>
    <row r="132" spans="15:15">
      <c r="O132" s="284"/>
    </row>
    <row r="133" spans="15:15">
      <c r="O133" s="284"/>
    </row>
    <row r="134" spans="15:15">
      <c r="O134" s="284"/>
    </row>
    <row r="135" spans="15:15">
      <c r="O135" s="284"/>
    </row>
    <row r="136" spans="15:15">
      <c r="O136" s="284"/>
    </row>
    <row r="137" spans="15:15">
      <c r="O137" s="284"/>
    </row>
    <row r="138" spans="15:15">
      <c r="O138" s="284"/>
    </row>
    <row r="139" spans="15:15">
      <c r="O139" s="284"/>
    </row>
    <row r="140" spans="15:15">
      <c r="O140" s="284"/>
    </row>
    <row r="141" spans="15:15">
      <c r="O141" s="284"/>
    </row>
    <row r="142" spans="15:15">
      <c r="O142" s="284"/>
    </row>
    <row r="143" spans="15:15">
      <c r="O143" s="284"/>
    </row>
    <row r="144" spans="15:15">
      <c r="O144" s="284"/>
    </row>
    <row r="145" spans="15:15">
      <c r="O145" s="284"/>
    </row>
    <row r="146" spans="15:15">
      <c r="O146" s="284"/>
    </row>
    <row r="147" spans="15:15">
      <c r="O147" s="284"/>
    </row>
    <row r="148" spans="15:15">
      <c r="O148" s="284"/>
    </row>
    <row r="149" spans="15:15">
      <c r="O149" s="284"/>
    </row>
    <row r="150" spans="15:15">
      <c r="O150" s="284"/>
    </row>
    <row r="151" spans="15:15">
      <c r="O151" s="284"/>
    </row>
    <row r="152" spans="15:15">
      <c r="O152" s="284"/>
    </row>
    <row r="153" spans="15:15">
      <c r="O153" s="284"/>
    </row>
    <row r="154" spans="15:15">
      <c r="O154" s="284"/>
    </row>
    <row r="155" spans="15:15">
      <c r="O155" s="284"/>
    </row>
    <row r="156" spans="15:15">
      <c r="O156" s="284"/>
    </row>
    <row r="157" spans="15:15">
      <c r="O157" s="284"/>
    </row>
    <row r="158" spans="15:15">
      <c r="O158" s="284"/>
    </row>
    <row r="159" spans="15:15">
      <c r="O159" s="284"/>
    </row>
    <row r="160" spans="15:15">
      <c r="O160" s="284"/>
    </row>
    <row r="161" spans="15:15">
      <c r="O161" s="284"/>
    </row>
    <row r="162" spans="15:15">
      <c r="O162" s="284"/>
    </row>
    <row r="163" spans="15:15">
      <c r="O163" s="284"/>
    </row>
    <row r="164" spans="15:15">
      <c r="O164" s="284"/>
    </row>
    <row r="165" spans="15:15">
      <c r="O165" s="284"/>
    </row>
    <row r="166" spans="15:15">
      <c r="O166" s="284"/>
    </row>
    <row r="167" spans="15:15">
      <c r="O167" s="284"/>
    </row>
    <row r="168" spans="15:15">
      <c r="O168" s="284"/>
    </row>
    <row r="169" spans="15:15">
      <c r="O169" s="284"/>
    </row>
    <row r="170" spans="15:15">
      <c r="O170" s="284"/>
    </row>
    <row r="171" spans="15:15">
      <c r="O171" s="284"/>
    </row>
    <row r="172" spans="15:15">
      <c r="O172" s="284"/>
    </row>
    <row r="173" spans="15:15">
      <c r="O173" s="284"/>
    </row>
    <row r="174" spans="15:15">
      <c r="O174" s="284"/>
    </row>
    <row r="175" spans="15:15">
      <c r="O175" s="284"/>
    </row>
    <row r="176" spans="15:15">
      <c r="O176" s="284"/>
    </row>
    <row r="177" spans="15:15">
      <c r="O177" s="284"/>
    </row>
    <row r="178" spans="15:15">
      <c r="O178" s="284"/>
    </row>
    <row r="179" spans="15:15">
      <c r="O179" s="284"/>
    </row>
    <row r="180" spans="15:15">
      <c r="O180" s="284"/>
    </row>
    <row r="181" spans="15:15">
      <c r="O181" s="284"/>
    </row>
    <row r="182" spans="15:15">
      <c r="O182" s="284"/>
    </row>
    <row r="183" spans="15:15">
      <c r="O183" s="284"/>
    </row>
    <row r="184" spans="15:15">
      <c r="O184" s="284"/>
    </row>
    <row r="185" spans="15:15">
      <c r="O185" s="284"/>
    </row>
    <row r="186" spans="15:15">
      <c r="O186" s="284"/>
    </row>
    <row r="187" spans="15:15">
      <c r="O187" s="284"/>
    </row>
    <row r="188" spans="15:15">
      <c r="O188" s="284"/>
    </row>
    <row r="189" spans="15:15">
      <c r="O189" s="284"/>
    </row>
    <row r="190" spans="15:15">
      <c r="O190" s="284"/>
    </row>
    <row r="191" spans="15:15">
      <c r="O191" s="284"/>
    </row>
    <row r="192" spans="15:15">
      <c r="O192" s="284"/>
    </row>
    <row r="193" spans="15:15">
      <c r="O193" s="284"/>
    </row>
    <row r="194" spans="15:15">
      <c r="O194" s="284"/>
    </row>
    <row r="195" spans="15:15">
      <c r="O195" s="284"/>
    </row>
    <row r="196" spans="15:15">
      <c r="O196" s="284"/>
    </row>
    <row r="197" spans="15:15">
      <c r="O197" s="284"/>
    </row>
    <row r="198" spans="15:15">
      <c r="O198" s="284"/>
    </row>
    <row r="199" spans="15:15">
      <c r="O199" s="284"/>
    </row>
    <row r="200" spans="15:15">
      <c r="O200" s="284"/>
    </row>
    <row r="201" spans="15:15">
      <c r="O201" s="284"/>
    </row>
    <row r="202" spans="15:15">
      <c r="O202" s="284"/>
    </row>
    <row r="203" spans="15:15">
      <c r="O203" s="284"/>
    </row>
    <row r="204" spans="15:15">
      <c r="O204" s="284"/>
    </row>
    <row r="205" spans="15:15">
      <c r="O205" s="284"/>
    </row>
    <row r="206" spans="15:15">
      <c r="O206" s="284"/>
    </row>
    <row r="207" spans="15:15">
      <c r="O207" s="284"/>
    </row>
    <row r="208" spans="15:15">
      <c r="O208" s="284"/>
    </row>
    <row r="209" spans="15:15">
      <c r="O209" s="284"/>
    </row>
    <row r="210" spans="15:15">
      <c r="O210" s="284"/>
    </row>
    <row r="211" spans="15:15">
      <c r="O211" s="284"/>
    </row>
    <row r="212" spans="15:15">
      <c r="O212" s="284"/>
    </row>
    <row r="213" spans="15:15">
      <c r="O213" s="284"/>
    </row>
    <row r="214" spans="15:15">
      <c r="O214" s="284"/>
    </row>
    <row r="215" spans="15:15">
      <c r="O215" s="284"/>
    </row>
    <row r="216" spans="15:15">
      <c r="O216" s="284"/>
    </row>
    <row r="217" spans="15:15">
      <c r="O217" s="284"/>
    </row>
    <row r="218" spans="15:15">
      <c r="O218" s="284"/>
    </row>
    <row r="219" spans="15:15">
      <c r="O219" s="284"/>
    </row>
    <row r="220" spans="15:15">
      <c r="O220" s="284"/>
    </row>
    <row r="221" spans="15:15">
      <c r="O221" s="284"/>
    </row>
    <row r="222" spans="15:15">
      <c r="O222" s="284"/>
    </row>
    <row r="223" spans="15:15">
      <c r="O223" s="284"/>
    </row>
    <row r="224" spans="15:15">
      <c r="O224" s="284"/>
    </row>
    <row r="225" spans="15:15">
      <c r="O225" s="284"/>
    </row>
    <row r="226" spans="15:15">
      <c r="O226" s="284"/>
    </row>
    <row r="227" spans="15:15">
      <c r="O227" s="284"/>
    </row>
    <row r="228" spans="15:15">
      <c r="O228" s="284"/>
    </row>
    <row r="229" spans="15:15">
      <c r="O229" s="284"/>
    </row>
    <row r="230" spans="15:15">
      <c r="O230" s="284"/>
    </row>
    <row r="231" spans="15:15">
      <c r="O231" s="284"/>
    </row>
    <row r="232" spans="15:15">
      <c r="O232" s="284"/>
    </row>
    <row r="233" spans="15:15">
      <c r="O233" s="284"/>
    </row>
    <row r="234" spans="15:15">
      <c r="O234" s="284"/>
    </row>
    <row r="235" spans="15:15">
      <c r="O235" s="284"/>
    </row>
    <row r="236" spans="15:15">
      <c r="O236" s="284"/>
    </row>
    <row r="237" spans="15:15">
      <c r="O237" s="284"/>
    </row>
    <row r="238" spans="15:15">
      <c r="O238" s="284"/>
    </row>
    <row r="239" spans="15:15">
      <c r="O239" s="284"/>
    </row>
    <row r="240" spans="15:15">
      <c r="O240" s="284"/>
    </row>
    <row r="241" spans="15:15">
      <c r="O241" s="284"/>
    </row>
    <row r="242" spans="15:15">
      <c r="O242" s="284"/>
    </row>
    <row r="243" spans="15:15">
      <c r="O243" s="284"/>
    </row>
    <row r="244" spans="15:15">
      <c r="O244" s="284"/>
    </row>
    <row r="245" spans="15:15">
      <c r="O245" s="284"/>
    </row>
    <row r="246" spans="15:15">
      <c r="O246" s="284"/>
    </row>
    <row r="247" spans="15:15">
      <c r="O247" s="284"/>
    </row>
    <row r="248" spans="15:15">
      <c r="O248" s="284"/>
    </row>
    <row r="249" spans="15:15">
      <c r="O249" s="284"/>
    </row>
    <row r="250" spans="15:15">
      <c r="O250" s="284"/>
    </row>
    <row r="251" spans="15:15">
      <c r="O251" s="284"/>
    </row>
    <row r="252" spans="15:15">
      <c r="O252" s="284"/>
    </row>
    <row r="253" spans="15:15">
      <c r="O253" s="284"/>
    </row>
    <row r="254" spans="15:15">
      <c r="O254" s="284"/>
    </row>
    <row r="255" spans="15:15">
      <c r="O255" s="284"/>
    </row>
    <row r="256" spans="15:15">
      <c r="O256" s="284"/>
    </row>
    <row r="257" spans="15:15">
      <c r="O257" s="284"/>
    </row>
    <row r="258" spans="15:15">
      <c r="O258" s="284"/>
    </row>
    <row r="259" spans="15:15">
      <c r="O259" s="284"/>
    </row>
    <row r="260" spans="15:15">
      <c r="O260" s="284"/>
    </row>
    <row r="261" spans="15:15">
      <c r="O261" s="284"/>
    </row>
    <row r="262" spans="15:15">
      <c r="O262" s="284"/>
    </row>
    <row r="263" spans="15:15">
      <c r="O263" s="284"/>
    </row>
    <row r="264" spans="15:15">
      <c r="O264" s="284"/>
    </row>
    <row r="265" spans="15:15">
      <c r="O265" s="284"/>
    </row>
    <row r="266" spans="15:15">
      <c r="O266" s="284"/>
    </row>
    <row r="267" spans="15:15">
      <c r="O267" s="284"/>
    </row>
    <row r="268" spans="15:15">
      <c r="O268" s="284"/>
    </row>
    <row r="269" spans="15:15">
      <c r="O269" s="284"/>
    </row>
    <row r="270" spans="15:15">
      <c r="O270" s="284"/>
    </row>
    <row r="271" spans="15:15">
      <c r="O271" s="284"/>
    </row>
    <row r="272" spans="15:15">
      <c r="O272" s="284"/>
    </row>
    <row r="273" spans="15:15">
      <c r="O273" s="284"/>
    </row>
    <row r="274" spans="15:15">
      <c r="O274" s="284"/>
    </row>
    <row r="275" spans="15:15">
      <c r="O275" s="284"/>
    </row>
    <row r="276" spans="15:15">
      <c r="O276" s="284"/>
    </row>
    <row r="277" spans="15:15">
      <c r="O277" s="284"/>
    </row>
    <row r="278" spans="15:15">
      <c r="O278" s="284"/>
    </row>
    <row r="279" spans="15:15">
      <c r="O279" s="284"/>
    </row>
    <row r="280" spans="15:15">
      <c r="O280" s="284"/>
    </row>
    <row r="281" spans="15:15">
      <c r="O281" s="284"/>
    </row>
    <row r="282" spans="15:15">
      <c r="O282" s="284"/>
    </row>
    <row r="283" spans="15:15">
      <c r="O283" s="284"/>
    </row>
    <row r="284" spans="15:15">
      <c r="O284" s="284"/>
    </row>
    <row r="285" spans="15:15">
      <c r="O285" s="284"/>
    </row>
    <row r="286" spans="15:15">
      <c r="O286" s="284"/>
    </row>
    <row r="287" spans="15:15">
      <c r="O287" s="284"/>
    </row>
    <row r="288" spans="15:15">
      <c r="O288" s="284"/>
    </row>
    <row r="289" spans="15:15">
      <c r="O289" s="284"/>
    </row>
    <row r="290" spans="15:15">
      <c r="O290" s="284"/>
    </row>
    <row r="291" spans="15:15">
      <c r="O291" s="284"/>
    </row>
    <row r="292" spans="15:15">
      <c r="O292" s="284"/>
    </row>
    <row r="293" spans="15:15">
      <c r="O293" s="284"/>
    </row>
    <row r="294" spans="15:15">
      <c r="O294" s="284"/>
    </row>
    <row r="295" spans="15:15">
      <c r="O295" s="284"/>
    </row>
    <row r="296" spans="15:15">
      <c r="O296" s="284"/>
    </row>
    <row r="297" spans="15:15">
      <c r="O297" s="284"/>
    </row>
    <row r="298" spans="15:15">
      <c r="O298" s="284"/>
    </row>
    <row r="299" spans="15:15">
      <c r="O299" s="284"/>
    </row>
    <row r="300" spans="15:15">
      <c r="O300" s="284"/>
    </row>
    <row r="301" spans="15:15">
      <c r="O301" s="284"/>
    </row>
    <row r="302" spans="15:15">
      <c r="O302" s="284"/>
    </row>
    <row r="303" spans="15:15">
      <c r="O303" s="284"/>
    </row>
    <row r="304" spans="15:15">
      <c r="O304" s="284"/>
    </row>
    <row r="305" spans="15:15">
      <c r="O305" s="284"/>
    </row>
    <row r="306" spans="15:15">
      <c r="O306" s="284"/>
    </row>
    <row r="307" spans="15:15">
      <c r="O307" s="284"/>
    </row>
    <row r="308" spans="15:15">
      <c r="O308" s="284"/>
    </row>
    <row r="309" spans="15:15">
      <c r="O309" s="284"/>
    </row>
    <row r="310" spans="15:15">
      <c r="O310" s="284"/>
    </row>
    <row r="311" spans="15:15">
      <c r="O311" s="284"/>
    </row>
    <row r="312" spans="15:15">
      <c r="O312" s="284"/>
    </row>
    <row r="313" spans="15:15">
      <c r="O313" s="284"/>
    </row>
    <row r="314" spans="15:15">
      <c r="O314" s="284"/>
    </row>
    <row r="315" spans="15:15">
      <c r="O315" s="284"/>
    </row>
    <row r="316" spans="15:15">
      <c r="O316" s="284"/>
    </row>
    <row r="317" spans="15:15">
      <c r="O317" s="284"/>
    </row>
    <row r="318" spans="15:15">
      <c r="O318" s="284"/>
    </row>
    <row r="319" spans="15:15">
      <c r="O319" s="284"/>
    </row>
    <row r="320" spans="15:15">
      <c r="O320" s="284"/>
    </row>
    <row r="321" spans="15:15">
      <c r="O321" s="284"/>
    </row>
    <row r="322" spans="15:15">
      <c r="O322" s="284"/>
    </row>
    <row r="323" spans="15:15">
      <c r="O323" s="284"/>
    </row>
    <row r="324" spans="15:15">
      <c r="O324" s="284"/>
    </row>
    <row r="325" spans="15:15">
      <c r="O325" s="284"/>
    </row>
    <row r="326" spans="15:15">
      <c r="O326" s="284"/>
    </row>
    <row r="327" spans="15:15">
      <c r="O327" s="284"/>
    </row>
    <row r="328" spans="15:15">
      <c r="O328" s="284"/>
    </row>
    <row r="329" spans="15:15">
      <c r="O329" s="284"/>
    </row>
    <row r="330" spans="15:15">
      <c r="O330" s="284"/>
    </row>
    <row r="331" spans="15:15">
      <c r="O331" s="284"/>
    </row>
    <row r="332" spans="15:15">
      <c r="O332" s="284"/>
    </row>
    <row r="333" spans="15:15">
      <c r="O333" s="284"/>
    </row>
    <row r="334" spans="15:15">
      <c r="O334" s="284"/>
    </row>
    <row r="335" spans="15:15">
      <c r="O335" s="284"/>
    </row>
    <row r="336" spans="15:15">
      <c r="O336" s="284"/>
    </row>
    <row r="337" spans="15:15">
      <c r="O337" s="284"/>
    </row>
    <row r="338" spans="15:15">
      <c r="O338" s="284"/>
    </row>
    <row r="339" spans="15:15">
      <c r="O339" s="284"/>
    </row>
    <row r="340" spans="15:15">
      <c r="O340" s="284"/>
    </row>
    <row r="341" spans="15:15">
      <c r="O341" s="284"/>
    </row>
    <row r="342" spans="15:15">
      <c r="O342" s="284"/>
    </row>
    <row r="343" spans="15:15">
      <c r="O343" s="284"/>
    </row>
    <row r="344" spans="15:15">
      <c r="O344" s="284"/>
    </row>
    <row r="345" spans="15:15">
      <c r="O345" s="284"/>
    </row>
    <row r="346" spans="15:15">
      <c r="O346" s="284"/>
    </row>
    <row r="347" spans="15:15">
      <c r="O347" s="284"/>
    </row>
    <row r="348" spans="15:15">
      <c r="O348" s="284"/>
    </row>
    <row r="349" spans="15:15">
      <c r="O349" s="284"/>
    </row>
    <row r="350" spans="15:15">
      <c r="O350" s="284"/>
    </row>
    <row r="351" spans="15:15">
      <c r="O351" s="284"/>
    </row>
    <row r="352" spans="15:15">
      <c r="O352" s="284"/>
    </row>
    <row r="353" spans="15:15">
      <c r="O353" s="284"/>
    </row>
    <row r="354" spans="15:15">
      <c r="O354" s="284"/>
    </row>
    <row r="355" spans="15:15">
      <c r="O355" s="284"/>
    </row>
    <row r="356" spans="15:15">
      <c r="O356" s="284"/>
    </row>
    <row r="357" spans="15:15">
      <c r="O357" s="284"/>
    </row>
    <row r="358" spans="15:15">
      <c r="O358" s="284"/>
    </row>
    <row r="359" spans="15:15">
      <c r="O359" s="284"/>
    </row>
    <row r="360" spans="15:15">
      <c r="O360" s="284"/>
    </row>
    <row r="361" spans="15:15">
      <c r="O361" s="284"/>
    </row>
    <row r="362" spans="15:15">
      <c r="O362" s="284"/>
    </row>
    <row r="363" spans="15:15">
      <c r="O363" s="284"/>
    </row>
    <row r="364" spans="15:15">
      <c r="O364" s="284"/>
    </row>
    <row r="365" spans="15:15">
      <c r="O365" s="284"/>
    </row>
    <row r="366" spans="15:15">
      <c r="O366" s="284"/>
    </row>
    <row r="367" spans="15:15">
      <c r="O367" s="284"/>
    </row>
    <row r="368" spans="15:15">
      <c r="O368" s="284"/>
    </row>
    <row r="369" spans="15:15">
      <c r="O369" s="284"/>
    </row>
    <row r="370" spans="15:15">
      <c r="O370" s="284"/>
    </row>
    <row r="371" spans="15:15">
      <c r="O371" s="284"/>
    </row>
    <row r="372" spans="15:15">
      <c r="O372" s="284"/>
    </row>
    <row r="373" spans="15:15">
      <c r="O373" s="284"/>
    </row>
    <row r="374" spans="15:15">
      <c r="O374" s="284"/>
    </row>
    <row r="375" spans="15:15">
      <c r="O375" s="284"/>
    </row>
    <row r="376" spans="15:15">
      <c r="O376" s="284"/>
    </row>
    <row r="377" spans="15:15">
      <c r="O377" s="284"/>
    </row>
    <row r="378" spans="15:15">
      <c r="O378" s="284"/>
    </row>
    <row r="379" spans="15:15">
      <c r="O379" s="284"/>
    </row>
    <row r="380" spans="15:15">
      <c r="O380" s="284"/>
    </row>
    <row r="381" spans="15:15">
      <c r="O381" s="284"/>
    </row>
    <row r="382" spans="15:15">
      <c r="O382" s="284"/>
    </row>
    <row r="383" spans="15:15">
      <c r="O383" s="284"/>
    </row>
    <row r="384" spans="15:15">
      <c r="O384" s="284"/>
    </row>
    <row r="385" spans="15:15">
      <c r="O385" s="284"/>
    </row>
    <row r="386" spans="15:15">
      <c r="O386" s="284"/>
    </row>
    <row r="387" spans="15:15">
      <c r="O387" s="284"/>
    </row>
    <row r="388" spans="15:15">
      <c r="O388" s="284"/>
    </row>
    <row r="389" spans="15:15">
      <c r="O389" s="284"/>
    </row>
    <row r="390" spans="15:15">
      <c r="O390" s="284"/>
    </row>
    <row r="391" spans="15:15">
      <c r="O391" s="284"/>
    </row>
    <row r="392" spans="15:15">
      <c r="O392" s="284"/>
    </row>
    <row r="393" spans="15:15">
      <c r="O393" s="284"/>
    </row>
    <row r="394" spans="15:15">
      <c r="O394" s="284"/>
    </row>
    <row r="395" spans="15:15">
      <c r="O395" s="284"/>
    </row>
    <row r="396" spans="15:15">
      <c r="O396" s="284"/>
    </row>
    <row r="397" spans="15:15">
      <c r="O397" s="284"/>
    </row>
    <row r="398" spans="15:15">
      <c r="O398" s="284"/>
    </row>
    <row r="399" spans="15:15">
      <c r="O399" s="284"/>
    </row>
    <row r="400" spans="15:15">
      <c r="O400" s="284"/>
    </row>
    <row r="401" spans="15:15">
      <c r="O401" s="284"/>
    </row>
    <row r="402" spans="15:15">
      <c r="O402" s="284"/>
    </row>
    <row r="403" spans="15:15">
      <c r="O403" s="284"/>
    </row>
    <row r="404" spans="15:15">
      <c r="O404" s="284"/>
    </row>
    <row r="405" spans="15:15">
      <c r="O405" s="284"/>
    </row>
    <row r="406" spans="15:15">
      <c r="O406" s="284"/>
    </row>
    <row r="407" spans="15:15">
      <c r="O407" s="284"/>
    </row>
    <row r="408" spans="15:15">
      <c r="O408" s="284"/>
    </row>
    <row r="409" spans="15:15">
      <c r="O409" s="284"/>
    </row>
    <row r="410" spans="15:15">
      <c r="O410" s="284"/>
    </row>
    <row r="411" spans="15:15">
      <c r="O411" s="284"/>
    </row>
    <row r="412" spans="15:15">
      <c r="O412" s="284"/>
    </row>
    <row r="413" spans="15:15">
      <c r="O413" s="284"/>
    </row>
    <row r="414" spans="15:15">
      <c r="O414" s="284"/>
    </row>
    <row r="415" spans="15:15">
      <c r="O415" s="284"/>
    </row>
    <row r="416" spans="15:15">
      <c r="O416" s="284"/>
    </row>
    <row r="417" spans="15:15">
      <c r="O417" s="284"/>
    </row>
    <row r="418" spans="15:15">
      <c r="O418" s="284"/>
    </row>
    <row r="419" spans="15:15">
      <c r="O419" s="284"/>
    </row>
    <row r="420" spans="15:15">
      <c r="O420" s="284"/>
    </row>
    <row r="421" spans="15:15">
      <c r="O421" s="284"/>
    </row>
    <row r="422" spans="15:15">
      <c r="O422" s="284"/>
    </row>
    <row r="423" spans="15:15">
      <c r="O423" s="284"/>
    </row>
    <row r="424" spans="15:15">
      <c r="O424" s="284"/>
    </row>
    <row r="425" spans="15:15">
      <c r="O425" s="284"/>
    </row>
    <row r="426" spans="15:15">
      <c r="O426" s="284"/>
    </row>
    <row r="427" spans="15:15">
      <c r="O427" s="284"/>
    </row>
    <row r="428" spans="15:15">
      <c r="O428" s="284"/>
    </row>
    <row r="429" spans="15:15">
      <c r="O429" s="284"/>
    </row>
    <row r="430" spans="15:15">
      <c r="O430" s="284"/>
    </row>
    <row r="431" spans="15:15">
      <c r="O431" s="284"/>
    </row>
    <row r="432" spans="15:15">
      <c r="O432" s="284"/>
    </row>
    <row r="433" spans="15:15">
      <c r="O433" s="284"/>
    </row>
    <row r="434" spans="15:15">
      <c r="O434" s="284"/>
    </row>
    <row r="435" spans="15:15">
      <c r="O435" s="284"/>
    </row>
    <row r="436" spans="15:15">
      <c r="O436" s="284"/>
    </row>
    <row r="437" spans="15:15">
      <c r="O437" s="284"/>
    </row>
    <row r="438" spans="15:15"/>
    <row r="439" spans="15:15"/>
    <row r="440" spans="15:15"/>
    <row r="441" spans="15:15"/>
    <row r="442" spans="15:15"/>
    <row r="443" spans="15:15"/>
    <row r="444" spans="15:15"/>
    <row r="445" spans="15:15"/>
    <row r="446" spans="15:15"/>
    <row r="447" spans="15:15"/>
    <row r="448" spans="15:15"/>
    <row r="449"/>
    <row r="497"/>
    <row r="509"/>
    <row r="513"/>
    <row r="520"/>
    <row r="521"/>
    <row r="522"/>
  </sheetData>
  <sheetProtection algorithmName="SHA-512" hashValue="IhcpYPMHnbFzdBapYfoCGMlmEVFOgAOF3sVrEwcnEODWwH0xGrEsU13xAE4rB7RlinHrchgEhDLMlylXZj12qg==" saltValue="UxPv7k2Q13Eu6rlwE1AjGg==" spinCount="100000" sheet="1" objects="1" scenarios="1"/>
  <mergeCells count="39">
    <mergeCell ref="E112:E113"/>
    <mergeCell ref="G109:H109"/>
    <mergeCell ref="I112:M112"/>
    <mergeCell ref="G112:H113"/>
    <mergeCell ref="I113:M113"/>
    <mergeCell ref="I109:M109"/>
    <mergeCell ref="I111:M111"/>
    <mergeCell ref="I110:M110"/>
    <mergeCell ref="F110:F111"/>
    <mergeCell ref="F112:F113"/>
    <mergeCell ref="G110:H111"/>
    <mergeCell ref="D9:D13"/>
    <mergeCell ref="E9:M13"/>
    <mergeCell ref="E110:E111"/>
    <mergeCell ref="H50:M50"/>
    <mergeCell ref="F50:F52"/>
    <mergeCell ref="G108:H108"/>
    <mergeCell ref="I108:M108"/>
    <mergeCell ref="G93:H93"/>
    <mergeCell ref="G94:H94"/>
    <mergeCell ref="I93:M93"/>
    <mergeCell ref="I94:M94"/>
    <mergeCell ref="E100:M100"/>
    <mergeCell ref="F21:I21"/>
    <mergeCell ref="F22:I22"/>
    <mergeCell ref="G92:M92"/>
    <mergeCell ref="F53:F55"/>
    <mergeCell ref="E8:M8"/>
    <mergeCell ref="E84:M84"/>
    <mergeCell ref="E42:M42"/>
    <mergeCell ref="G91:M91"/>
    <mergeCell ref="E63:M63"/>
    <mergeCell ref="E68:M68"/>
    <mergeCell ref="G54:G55"/>
    <mergeCell ref="H73:L73"/>
    <mergeCell ref="H74:L74"/>
    <mergeCell ref="H75:L75"/>
    <mergeCell ref="H76:L76"/>
    <mergeCell ref="H72:L72"/>
  </mergeCells>
  <phoneticPr fontId="4"/>
  <conditionalFormatting sqref="E19">
    <cfRule type="expression" dxfId="54" priority="15" stopIfTrue="1">
      <formula>$M$62&gt;0</formula>
    </cfRule>
  </conditionalFormatting>
  <conditionalFormatting sqref="E27">
    <cfRule type="expression" dxfId="52" priority="14" stopIfTrue="1">
      <formula>$M$62&gt;0</formula>
    </cfRule>
  </conditionalFormatting>
  <conditionalFormatting sqref="E33">
    <cfRule type="expression" dxfId="50" priority="13" stopIfTrue="1">
      <formula>$M$62&gt;0</formula>
    </cfRule>
  </conditionalFormatting>
  <conditionalFormatting sqref="E50:E56">
    <cfRule type="expression" dxfId="49" priority="25" stopIfTrue="1">
      <formula>$M$41&gt;0</formula>
    </cfRule>
  </conditionalFormatting>
  <conditionalFormatting sqref="E92:E94">
    <cfRule type="expression" dxfId="48" priority="24" stopIfTrue="1">
      <formula>$M$83&gt;0</formula>
    </cfRule>
  </conditionalFormatting>
  <conditionalFormatting sqref="E108:E112">
    <cfRule type="expression" dxfId="47" priority="23" stopIfTrue="1">
      <formula>$M$99&gt;0</formula>
    </cfRule>
  </conditionalFormatting>
  <dataValidations xWindow="203" yWindow="331" count="7">
    <dataValidation type="list" allowBlank="1" showInputMessage="1" showErrorMessage="1" sqref="E50:E56 E92:E94 E108:E112" xr:uid="{00000000-0002-0000-0D00-000000000000}">
      <formula1>$U$3:$U$4</formula1>
    </dataValidation>
    <dataValidation type="textLength" operator="lessThanOrEqual" allowBlank="1" showInputMessage="1" showErrorMessage="1" sqref="F96 F79 F59 F116" xr:uid="{00000000-0002-0000-0D00-000001000000}">
      <formula1>30</formula1>
    </dataValidation>
    <dataValidation allowBlank="1" showInputMessage="1" sqref="F91:F92" xr:uid="{00000000-0002-0000-0D00-000003000000}"/>
    <dataValidation type="list" allowBlank="1" showInputMessage="1" showErrorMessage="1" sqref="E19" xr:uid="{00000000-0002-0000-0D00-000004000000}">
      <formula1>$E$20:$E$25</formula1>
    </dataValidation>
    <dataValidation type="list" allowBlank="1" showInputMessage="1" showErrorMessage="1" sqref="E27" xr:uid="{00000000-0002-0000-0D00-000005000000}">
      <formula1>$E$28:$E$31</formula1>
    </dataValidation>
    <dataValidation type="list" allowBlank="1" showInputMessage="1" showErrorMessage="1" sqref="E33" xr:uid="{00000000-0002-0000-0D00-000006000000}">
      <formula1>$E$34:$E$37</formula1>
    </dataValidation>
    <dataValidation type="list" allowBlank="1" showInputMessage="1" showErrorMessage="1" sqref="E71:E76" xr:uid="{4523F72D-41BC-4D70-AF65-03ADCC021CCF}">
      <formula1>P71:Q71</formula1>
    </dataValidation>
  </dataValidations>
  <printOptions horizontalCentered="1"/>
  <pageMargins left="0.78740157480314965" right="0.78740157480314965" top="0.78740157480314965" bottom="0.78740157480314965" header="0.51181102362204722" footer="0.51181102362204722"/>
  <pageSetup paperSize="9" scale="69" fitToHeight="0" orientation="portrait" horizontalDpi="4294967293" verticalDpi="4294967293" r:id="rId1"/>
  <headerFooter alignWithMargins="0">
    <oddHeader>&amp;L&amp;F&amp;R&amp;A</oddHeader>
    <oddFooter>&amp;C&amp;P/&amp;N</oddFooter>
  </headerFooter>
  <rowBreaks count="2" manualBreakCount="2">
    <brk id="38" max="13" man="1"/>
    <brk id="80" max="13" man="1"/>
  </rowBreaks>
  <drawing r:id="rId2"/>
  <extLst>
    <ext xmlns:x14="http://schemas.microsoft.com/office/spreadsheetml/2009/9/main" uri="{78C0D931-6437-407d-A8EE-F0AAD7539E65}">
      <x14:conditionalFormattings>
        <x14:conditionalFormatting xmlns:xm="http://schemas.microsoft.com/office/excel/2006/main">
          <x14:cfRule type="expression" priority="12" id="{37776243-37A3-4853-BBDA-899FB133067C}">
            <xm:f>採点LR2!$G$8=0</xm:f>
            <x14:dxf>
              <fill>
                <patternFill>
                  <bgColor theme="0" tint="-0.24994659260841701"/>
                </patternFill>
              </fill>
            </x14:dxf>
          </x14:cfRule>
          <xm:sqref>E19</xm:sqref>
        </x14:conditionalFormatting>
        <x14:conditionalFormatting xmlns:xm="http://schemas.microsoft.com/office/excel/2006/main">
          <x14:cfRule type="expression" priority="11" id="{D49C9DC5-72A5-4C2D-9588-FD7B62E9485D}">
            <xm:f>採点LR2!$H$8=0</xm:f>
            <x14:dxf>
              <fill>
                <patternFill>
                  <bgColor theme="0" tint="-0.24994659260841701"/>
                </patternFill>
              </fill>
            </x14:dxf>
          </x14:cfRule>
          <xm:sqref>E27</xm:sqref>
        </x14:conditionalFormatting>
        <x14:conditionalFormatting xmlns:xm="http://schemas.microsoft.com/office/excel/2006/main">
          <x14:cfRule type="expression" priority="10" id="{0FB9EF7B-BC92-462A-8512-DBE438E7ACF1}">
            <xm:f>採点LR2!$I$8=0</xm:f>
            <x14:dxf>
              <fill>
                <patternFill>
                  <bgColor theme="0" tint="-0.24994659260841701"/>
                </patternFill>
              </fill>
            </x14:dxf>
          </x14:cfRule>
          <xm:sqref>E33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D2DC-7CA0-4A2C-9A41-63DD1A30DA4D}">
  <sheetPr>
    <pageSetUpPr fitToPage="1"/>
  </sheetPr>
  <dimension ref="A1:IV93"/>
  <sheetViews>
    <sheetView showGridLines="0" zoomScaleNormal="100" zoomScaleSheetLayoutView="100" workbookViewId="0">
      <selection activeCell="I89" sqref="I89"/>
    </sheetView>
  </sheetViews>
  <sheetFormatPr defaultColWidth="0" defaultRowHeight="0" customHeight="1" zeroHeight="1"/>
  <cols>
    <col min="1" max="1" width="2.21875" style="2170" customWidth="1"/>
    <col min="2" max="2" width="3.6640625" style="2171" customWidth="1"/>
    <col min="3" max="3" width="5.77734375" style="2285" customWidth="1"/>
    <col min="4" max="4" width="4.6640625" style="2286" customWidth="1"/>
    <col min="5" max="5" width="17.33203125" style="2285" customWidth="1"/>
    <col min="6" max="6" width="9.77734375" style="2285" customWidth="1"/>
    <col min="7" max="7" width="9.77734375" style="2192" customWidth="1"/>
    <col min="8" max="8" width="0.44140625" style="2192" customWidth="1"/>
    <col min="9" max="11" width="9.77734375" style="2192" customWidth="1"/>
    <col min="12" max="12" width="9.77734375" style="2287" customWidth="1"/>
    <col min="13" max="13" width="9.77734375" style="2170" customWidth="1"/>
    <col min="14" max="14" width="3.109375" style="2170" customWidth="1"/>
    <col min="15" max="15" width="11.77734375" style="2170" customWidth="1"/>
    <col min="16" max="16" width="9.44140625" style="2170" customWidth="1"/>
    <col min="17" max="17" width="2" style="2170" customWidth="1"/>
    <col min="18" max="18" width="4" style="2170" hidden="1" customWidth="1"/>
    <col min="19" max="19" width="9.21875" style="2170" hidden="1" customWidth="1"/>
    <col min="20" max="16384" width="9" style="2170" hidden="1"/>
  </cols>
  <sheetData>
    <row r="1" spans="1:28" s="2169" customFormat="1" ht="12.6" customHeight="1" thickBot="1">
      <c r="A1" s="2168"/>
      <c r="B1" s="2168"/>
      <c r="C1" s="2168"/>
      <c r="D1" s="908"/>
      <c r="E1" s="4"/>
      <c r="F1" s="2168"/>
      <c r="G1" s="2168"/>
      <c r="H1" s="2168"/>
      <c r="I1" s="909"/>
      <c r="J1" s="909"/>
      <c r="K1" s="909"/>
      <c r="L1" s="909"/>
      <c r="M1" s="909"/>
      <c r="N1" s="909"/>
      <c r="O1" s="910"/>
      <c r="P1" s="911"/>
      <c r="R1" s="275"/>
      <c r="S1" s="275"/>
      <c r="T1" s="582"/>
      <c r="U1" s="275"/>
      <c r="V1" s="582"/>
      <c r="W1" s="275"/>
      <c r="X1" s="275"/>
      <c r="Y1" s="275"/>
      <c r="Z1" s="389"/>
      <c r="AA1" s="389"/>
      <c r="AB1" s="389"/>
    </row>
    <row r="2" spans="1:28" s="2169" customFormat="1" ht="16.2">
      <c r="A2" s="2168"/>
      <c r="B2" s="912" t="str">
        <f>判定!M2</f>
        <v>CASBEE-戸建（新築）2025年版</v>
      </c>
      <c r="C2" s="913"/>
      <c r="D2" s="914"/>
      <c r="E2" s="915"/>
      <c r="F2" s="916"/>
      <c r="G2" s="2168"/>
      <c r="H2" s="2168"/>
      <c r="I2" s="909"/>
      <c r="J2" s="909"/>
      <c r="K2" s="909"/>
      <c r="L2" s="2805"/>
      <c r="M2" s="2805"/>
      <c r="N2" s="1407"/>
      <c r="O2" s="917"/>
      <c r="P2" s="911"/>
      <c r="R2" s="275"/>
      <c r="S2" s="275"/>
      <c r="T2" s="582"/>
      <c r="U2" s="275"/>
      <c r="V2" s="582"/>
      <c r="W2" s="275"/>
      <c r="X2" s="275"/>
      <c r="Y2" s="275"/>
      <c r="Z2" s="389"/>
      <c r="AA2" s="389"/>
      <c r="AB2" s="389"/>
    </row>
    <row r="3" spans="1:28" s="2169" customFormat="1" ht="15.75" customHeight="1" thickBot="1">
      <c r="A3" s="2168"/>
      <c r="B3" s="918" t="str">
        <f>判定!D6</f>
        <v>あおもりGX</v>
      </c>
      <c r="C3" s="919"/>
      <c r="D3" s="920"/>
      <c r="E3" s="921"/>
      <c r="F3" s="922"/>
      <c r="G3" s="2168"/>
      <c r="H3" s="2168"/>
      <c r="I3" s="909"/>
      <c r="J3" s="909"/>
      <c r="K3" s="909"/>
      <c r="L3" s="2806"/>
      <c r="M3" s="2806"/>
      <c r="N3" s="1408"/>
      <c r="O3" s="923"/>
      <c r="P3" s="911"/>
      <c r="R3" s="275"/>
      <c r="S3" s="275"/>
      <c r="T3" s="582"/>
      <c r="U3" s="275"/>
      <c r="V3" s="582"/>
      <c r="W3" s="275"/>
      <c r="X3" s="275"/>
      <c r="Y3" s="275"/>
      <c r="Z3" s="389"/>
      <c r="AA3" s="389"/>
      <c r="AB3" s="389"/>
    </row>
    <row r="4" spans="1:28" ht="15" customHeight="1" thickBot="1">
      <c r="C4" s="2170"/>
      <c r="D4" s="2172"/>
      <c r="E4" s="2170"/>
      <c r="F4" s="2170"/>
      <c r="G4" s="2171"/>
      <c r="H4" s="2171"/>
      <c r="I4" s="2171"/>
      <c r="J4" s="2171"/>
      <c r="K4" s="2171"/>
      <c r="L4" s="2173"/>
      <c r="P4" s="2174"/>
    </row>
    <row r="5" spans="1:28" ht="21" customHeight="1">
      <c r="B5" s="1395" t="s">
        <v>924</v>
      </c>
      <c r="C5" s="2175"/>
      <c r="D5" s="2176"/>
      <c r="E5" s="2175"/>
      <c r="F5" s="2175"/>
      <c r="G5" s="2177"/>
      <c r="H5" s="2177"/>
      <c r="I5" s="2177"/>
      <c r="J5" s="2177"/>
      <c r="K5" s="2177"/>
      <c r="L5" s="2175"/>
      <c r="M5" s="897"/>
      <c r="N5" s="898"/>
      <c r="O5" s="929"/>
      <c r="P5" s="2178"/>
    </row>
    <row r="6" spans="1:28" ht="7.5" customHeight="1">
      <c r="B6" s="2179"/>
      <c r="C6" s="2180"/>
      <c r="D6" s="2181"/>
      <c r="E6" s="2182"/>
      <c r="F6" s="2182"/>
      <c r="G6" s="2183"/>
      <c r="H6" s="2183"/>
      <c r="I6" s="2183"/>
      <c r="J6" s="2183"/>
      <c r="K6" s="2183"/>
      <c r="L6" s="2184"/>
      <c r="M6" s="2182"/>
      <c r="N6" s="2182"/>
      <c r="O6" s="2182"/>
      <c r="P6" s="2185"/>
    </row>
    <row r="7" spans="1:28" ht="18" customHeight="1">
      <c r="B7" s="2186" t="s">
        <v>925</v>
      </c>
      <c r="C7" s="2182"/>
      <c r="D7" s="2181"/>
      <c r="E7" s="2182"/>
      <c r="F7" s="2182"/>
      <c r="G7" s="2183"/>
      <c r="H7" s="2183"/>
      <c r="I7" s="2182"/>
      <c r="J7" s="2183"/>
      <c r="K7" s="2183"/>
      <c r="L7" s="2183"/>
      <c r="M7" s="2182"/>
      <c r="N7" s="2183"/>
      <c r="O7" s="2183"/>
      <c r="P7" s="2187"/>
    </row>
    <row r="8" spans="1:28" ht="18" customHeight="1" thickBot="1">
      <c r="B8" s="2179"/>
      <c r="C8" s="2188" t="s">
        <v>926</v>
      </c>
      <c r="D8" s="2181"/>
      <c r="E8" s="2182"/>
      <c r="F8" s="2182"/>
      <c r="G8" s="2183"/>
      <c r="H8" s="2183"/>
      <c r="I8" s="2189"/>
      <c r="J8" s="2189"/>
      <c r="K8" s="2189"/>
      <c r="L8" s="2190"/>
      <c r="M8" s="2191" t="s">
        <v>698</v>
      </c>
      <c r="N8" s="2182"/>
      <c r="O8" s="2190"/>
      <c r="P8" s="2187" t="s">
        <v>698</v>
      </c>
    </row>
    <row r="9" spans="1:28" ht="18" customHeight="1">
      <c r="B9" s="2179"/>
      <c r="C9" s="2182" t="s">
        <v>712</v>
      </c>
      <c r="D9" s="2181" t="s">
        <v>514</v>
      </c>
      <c r="E9" s="2182"/>
      <c r="F9" s="2182"/>
      <c r="G9" s="2183"/>
      <c r="H9" s="2183"/>
      <c r="I9" s="2182"/>
      <c r="J9" s="2183"/>
      <c r="K9" s="2191" t="s">
        <v>698</v>
      </c>
      <c r="L9" s="3118" t="s">
        <v>420</v>
      </c>
      <c r="M9" s="3119"/>
      <c r="N9" s="2183"/>
      <c r="O9" s="2803" t="s">
        <v>225</v>
      </c>
      <c r="P9" s="2804"/>
      <c r="Q9" s="2192"/>
    </row>
    <row r="10" spans="1:28" ht="18" customHeight="1">
      <c r="B10" s="2179"/>
      <c r="C10" s="2193">
        <v>1</v>
      </c>
      <c r="D10" s="2194" t="s">
        <v>44</v>
      </c>
      <c r="E10" s="2195"/>
      <c r="F10" s="2196" t="s">
        <v>291</v>
      </c>
      <c r="G10" s="2196" t="s">
        <v>1134</v>
      </c>
      <c r="H10" s="2183"/>
      <c r="I10" s="2197" t="s">
        <v>222</v>
      </c>
      <c r="J10" s="2197" t="s">
        <v>223</v>
      </c>
      <c r="K10" s="2198" t="s">
        <v>224</v>
      </c>
      <c r="L10" s="2199" t="s">
        <v>226</v>
      </c>
      <c r="M10" s="2200" t="s">
        <v>699</v>
      </c>
      <c r="N10" s="2182"/>
      <c r="O10" s="2199" t="s">
        <v>226</v>
      </c>
      <c r="P10" s="2200" t="s">
        <v>699</v>
      </c>
      <c r="Q10" s="2192"/>
    </row>
    <row r="11" spans="1:28" ht="18" customHeight="1">
      <c r="B11" s="2179"/>
      <c r="C11" s="2201"/>
      <c r="D11" s="2202">
        <v>1.1000000000000001</v>
      </c>
      <c r="E11" s="2195" t="s">
        <v>1055</v>
      </c>
      <c r="F11" s="2729">
        <f>判定!E25</f>
        <v>1</v>
      </c>
      <c r="G11" s="2729">
        <f>判定!G25</f>
        <v>0.12</v>
      </c>
      <c r="H11" s="2183"/>
      <c r="I11" s="2729">
        <f>VLOOKUP($R11,CO2データ!$H$6:$Q$53,2)</f>
        <v>9.52</v>
      </c>
      <c r="J11" s="2729">
        <f>VLOOKUP($R11,CO2データ!$H$6:$Q$53,3)</f>
        <v>4.76</v>
      </c>
      <c r="K11" s="2730">
        <f>VLOOKUP($R11,CO2データ!$H$6:$Q$53,4)</f>
        <v>3.17</v>
      </c>
      <c r="L11" s="2203">
        <f>L40</f>
        <v>5</v>
      </c>
      <c r="M11" s="2731">
        <f>IF(L11&gt;=4.5,$K11,IF(L11&gt;=3.5,$J11,IF(L11&gt;=2.5,$I11,IF(L11&gt;=1.5,$H11,$F11))))*(1-G11)</f>
        <v>2.7896000000000001</v>
      </c>
      <c r="N11" s="2182"/>
      <c r="O11" s="2203">
        <v>3</v>
      </c>
      <c r="P11" s="2731">
        <f>CO2データ!I36</f>
        <v>9.52</v>
      </c>
      <c r="R11" s="2170">
        <f>R40</f>
        <v>555</v>
      </c>
    </row>
    <row r="12" spans="1:28" ht="18" customHeight="1">
      <c r="B12" s="2179"/>
      <c r="C12" s="2201"/>
      <c r="D12" s="2204"/>
      <c r="E12" s="2205" t="s">
        <v>314</v>
      </c>
      <c r="F12" s="2729">
        <f>判定!E26</f>
        <v>0</v>
      </c>
      <c r="G12" s="2729">
        <f>判定!G26</f>
        <v>0</v>
      </c>
      <c r="H12" s="2183"/>
      <c r="I12" s="2729">
        <f>VLOOKUP($R12,CO2データ!$H$6:$Q$53,5)</f>
        <v>16.12</v>
      </c>
      <c r="J12" s="2729">
        <f>VLOOKUP($R12,CO2データ!$H$6:$Q$53,6)</f>
        <v>8.06</v>
      </c>
      <c r="K12" s="2730">
        <f>VLOOKUP($R12,CO2データ!$H$6:$Q$53,7)</f>
        <v>5.37</v>
      </c>
      <c r="L12" s="2203">
        <f>L11</f>
        <v>5</v>
      </c>
      <c r="M12" s="2731">
        <f>IF(L12&gt;=4.5,$K12,IF(L12&gt;=3.5,$J12,IF(L12&gt;=2.5,$I12,IF(L12&gt;=1.5,$H12,$F12))))*(1-G12)</f>
        <v>5.37</v>
      </c>
      <c r="N12" s="2182"/>
      <c r="O12" s="2203">
        <v>3</v>
      </c>
      <c r="P12" s="2731">
        <f>CO2データ!L36</f>
        <v>16.12</v>
      </c>
      <c r="R12" s="2170">
        <f>R11</f>
        <v>555</v>
      </c>
    </row>
    <row r="13" spans="1:28" ht="18" customHeight="1" thickBot="1">
      <c r="B13" s="2179"/>
      <c r="C13" s="2201"/>
      <c r="D13" s="2206"/>
      <c r="E13" s="2207" t="s">
        <v>315</v>
      </c>
      <c r="F13" s="2729">
        <f>判定!E27</f>
        <v>0</v>
      </c>
      <c r="G13" s="2729">
        <f>判定!G27</f>
        <v>0</v>
      </c>
      <c r="H13" s="2183"/>
      <c r="I13" s="2729">
        <f>VLOOKUP($R13,CO2データ!$H$6:$Q$53,8)</f>
        <v>17.78</v>
      </c>
      <c r="J13" s="2729">
        <f>VLOOKUP($R13,CO2データ!$H$6:$Q$53,9)</f>
        <v>8.89</v>
      </c>
      <c r="K13" s="2730">
        <f>VLOOKUP($R13,CO2データ!$H$6:$Q$53,10)</f>
        <v>5.93</v>
      </c>
      <c r="L13" s="2203">
        <f>L11</f>
        <v>5</v>
      </c>
      <c r="M13" s="2732">
        <f>IF(L13&gt;=4.5,$K13,IF(L13&gt;=3.5,$J13,IF(L13&gt;=2.5,$I13,IF(L13&gt;=1.5,$H13,$F13))))*(1-G13)</f>
        <v>5.93</v>
      </c>
      <c r="N13" s="2182"/>
      <c r="O13" s="2203">
        <v>3</v>
      </c>
      <c r="P13" s="2732">
        <f>CO2データ!O36</f>
        <v>17.78</v>
      </c>
      <c r="R13" s="2170">
        <f>R11</f>
        <v>555</v>
      </c>
    </row>
    <row r="14" spans="1:28" ht="18" customHeight="1">
      <c r="B14" s="2179"/>
      <c r="C14" s="2201"/>
      <c r="D14" s="2208">
        <v>1.2</v>
      </c>
      <c r="E14" s="2209" t="s">
        <v>45</v>
      </c>
      <c r="F14" s="2209"/>
      <c r="G14" s="2733"/>
      <c r="H14" s="2183"/>
      <c r="I14" s="2183"/>
      <c r="J14" s="2183"/>
      <c r="K14" s="2183"/>
      <c r="L14" s="2210">
        <f>判定!M46</f>
        <v>5</v>
      </c>
      <c r="M14" s="2182"/>
      <c r="N14" s="2182"/>
      <c r="O14" s="2211">
        <v>3</v>
      </c>
      <c r="P14" s="2212"/>
    </row>
    <row r="15" spans="1:28" ht="18" customHeight="1" thickBot="1">
      <c r="B15" s="2179"/>
      <c r="C15" s="2213"/>
      <c r="D15" s="2208">
        <v>1.3</v>
      </c>
      <c r="E15" s="2209" t="s">
        <v>294</v>
      </c>
      <c r="F15" s="2209"/>
      <c r="G15" s="2733"/>
      <c r="H15" s="2183"/>
      <c r="I15" s="2183"/>
      <c r="J15" s="2183"/>
      <c r="K15" s="2183"/>
      <c r="L15" s="2214">
        <f>判定!M49</f>
        <v>5</v>
      </c>
      <c r="M15" s="2182"/>
      <c r="N15" s="2182"/>
      <c r="O15" s="2215">
        <v>3</v>
      </c>
      <c r="P15" s="2216"/>
    </row>
    <row r="16" spans="1:28" ht="18" customHeight="1" thickBot="1">
      <c r="B16" s="2179"/>
      <c r="C16" s="2193">
        <v>2</v>
      </c>
      <c r="D16" s="2194" t="s">
        <v>519</v>
      </c>
      <c r="E16" s="2195"/>
      <c r="F16" s="2195"/>
      <c r="G16" s="2734"/>
      <c r="H16" s="2183"/>
      <c r="I16" s="2183"/>
      <c r="J16" s="2183"/>
      <c r="K16" s="2183"/>
      <c r="L16" s="2735"/>
      <c r="M16" s="2182"/>
      <c r="N16" s="2182"/>
      <c r="O16" s="2217"/>
      <c r="P16" s="2185"/>
    </row>
    <row r="17" spans="2:18" ht="17.100000000000001" customHeight="1" thickBot="1">
      <c r="B17" s="2179"/>
      <c r="C17" s="2213"/>
      <c r="D17" s="2208">
        <v>2.2000000000000002</v>
      </c>
      <c r="E17" s="2209" t="s">
        <v>265</v>
      </c>
      <c r="F17" s="2209"/>
      <c r="G17" s="2733"/>
      <c r="H17" s="2183"/>
      <c r="I17" s="2183"/>
      <c r="J17" s="2183"/>
      <c r="K17" s="2183"/>
      <c r="L17" s="2218">
        <f>判定!M54</f>
        <v>5</v>
      </c>
      <c r="M17" s="2182"/>
      <c r="N17" s="2182"/>
      <c r="O17" s="2218">
        <v>3</v>
      </c>
      <c r="P17" s="2185"/>
    </row>
    <row r="18" spans="2:18" ht="15.6">
      <c r="B18" s="2179"/>
      <c r="C18" s="2182" t="s">
        <v>1135</v>
      </c>
      <c r="D18" s="2181"/>
      <c r="E18" s="2182"/>
      <c r="F18" s="2182"/>
      <c r="G18" s="2183"/>
      <c r="H18" s="2183"/>
      <c r="I18" s="2183"/>
      <c r="J18" s="2183"/>
      <c r="K18" s="2183"/>
      <c r="L18" s="2183"/>
      <c r="M18" s="2183"/>
      <c r="N18" s="2182"/>
      <c r="O18" s="2182"/>
      <c r="P18" s="2185"/>
    </row>
    <row r="19" spans="2:18" ht="13.2">
      <c r="B19" s="2179"/>
      <c r="C19" s="2182"/>
      <c r="D19" s="2181"/>
      <c r="E19" s="2182"/>
      <c r="F19" s="2182"/>
      <c r="G19" s="2183"/>
      <c r="H19" s="2183"/>
      <c r="I19" s="2183"/>
      <c r="J19" s="2183"/>
      <c r="K19" s="2183"/>
      <c r="L19" s="2183"/>
      <c r="M19" s="2183"/>
      <c r="N19" s="2182"/>
      <c r="O19" s="2182"/>
      <c r="P19" s="2185"/>
    </row>
    <row r="20" spans="2:18" ht="15.6">
      <c r="B20" s="2179"/>
      <c r="C20" s="2188" t="s">
        <v>1126</v>
      </c>
      <c r="D20" s="2181"/>
      <c r="E20" s="2182"/>
      <c r="F20" s="2182"/>
      <c r="G20" s="2182"/>
      <c r="H20" s="2183"/>
      <c r="I20" s="2183"/>
      <c r="J20" s="2183"/>
      <c r="K20" s="2183"/>
      <c r="L20" s="2219"/>
      <c r="M20" s="2736"/>
      <c r="N20" s="2182"/>
      <c r="O20" s="2217"/>
      <c r="P20" s="2185"/>
    </row>
    <row r="21" spans="2:18" ht="14.4" hidden="1">
      <c r="B21" s="2179"/>
      <c r="C21" s="2220"/>
      <c r="D21" s="2181"/>
      <c r="E21" s="1194" t="s">
        <v>904</v>
      </c>
      <c r="F21" s="2221">
        <f>G59</f>
        <v>120.8</v>
      </c>
      <c r="G21" s="1337" t="s">
        <v>1</v>
      </c>
      <c r="H21" s="2183"/>
      <c r="I21" s="2182"/>
      <c r="J21" s="2183"/>
      <c r="K21" s="2191"/>
      <c r="L21" s="3118" t="s">
        <v>420</v>
      </c>
      <c r="M21" s="3119"/>
      <c r="N21" s="2182"/>
      <c r="O21" s="2217"/>
      <c r="P21" s="2185"/>
    </row>
    <row r="22" spans="2:18" ht="14.4" hidden="1">
      <c r="B22" s="2179"/>
      <c r="C22" s="2220"/>
      <c r="D22" s="2181"/>
      <c r="E22" s="2182"/>
      <c r="F22" s="2182"/>
      <c r="G22" s="2183"/>
      <c r="H22" s="2183"/>
      <c r="I22" s="2197" t="s">
        <v>222</v>
      </c>
      <c r="J22" s="2197" t="s">
        <v>223</v>
      </c>
      <c r="K22" s="2198" t="s">
        <v>224</v>
      </c>
      <c r="L22" s="2199" t="s">
        <v>226</v>
      </c>
      <c r="M22" s="2222" t="s">
        <v>913</v>
      </c>
      <c r="N22" s="2182"/>
      <c r="O22" s="2217"/>
      <c r="P22" s="2185"/>
    </row>
    <row r="23" spans="2:18" ht="16.2" hidden="1" thickBot="1">
      <c r="B23" s="2179"/>
      <c r="C23" s="2220"/>
      <c r="D23" s="2181" t="s">
        <v>299</v>
      </c>
      <c r="E23" s="2182"/>
      <c r="F23" s="2182" t="s">
        <v>2164</v>
      </c>
      <c r="G23" s="2183"/>
      <c r="H23" s="2183"/>
      <c r="I23" s="2223">
        <f>CO2データ!I273</f>
        <v>30</v>
      </c>
      <c r="J23" s="2223">
        <f>CO2データ!J273</f>
        <v>60</v>
      </c>
      <c r="K23" s="2223">
        <f>CO2データ!K273</f>
        <v>90</v>
      </c>
      <c r="L23" s="2224">
        <f>L11</f>
        <v>5</v>
      </c>
      <c r="M23" s="2225">
        <f>IF(L23&gt;=4.5,$K23,IF(L23&gt;=3.5,$J23,IF(L23&gt;=2.5,$I23,IF(L23&gt;=1.5,$H23,$G23))))</f>
        <v>90</v>
      </c>
      <c r="N23" s="2182"/>
      <c r="O23" s="2217"/>
      <c r="P23" s="2185"/>
    </row>
    <row r="24" spans="2:18" ht="15.6">
      <c r="B24" s="2179"/>
      <c r="C24" s="2220"/>
      <c r="D24" s="2220"/>
      <c r="E24" s="2220"/>
      <c r="F24" s="1534" t="s">
        <v>1052</v>
      </c>
      <c r="G24" s="1534" t="s">
        <v>1053</v>
      </c>
      <c r="H24" s="2737"/>
      <c r="I24" s="1534" t="s">
        <v>987</v>
      </c>
      <c r="J24" s="1534" t="s">
        <v>699</v>
      </c>
      <c r="K24" s="2226" t="s">
        <v>1050</v>
      </c>
      <c r="L24" s="2227"/>
      <c r="M24" s="2738"/>
      <c r="N24" s="2182"/>
      <c r="O24" s="2217"/>
      <c r="P24" s="2185"/>
    </row>
    <row r="25" spans="2:18" ht="15.6">
      <c r="B25" s="2179"/>
      <c r="C25" s="2220"/>
      <c r="D25" s="2181"/>
      <c r="E25" s="2182"/>
      <c r="F25" s="2228" t="s">
        <v>583</v>
      </c>
      <c r="G25" s="2228" t="s">
        <v>912</v>
      </c>
      <c r="H25" s="2737"/>
      <c r="I25" s="2228" t="s">
        <v>903</v>
      </c>
      <c r="J25" s="2228" t="s">
        <v>1118</v>
      </c>
      <c r="K25" s="2229" t="s">
        <v>912</v>
      </c>
      <c r="L25" s="2737"/>
      <c r="M25" s="2230" t="s">
        <v>698</v>
      </c>
      <c r="N25" s="2182"/>
      <c r="O25" s="2217"/>
      <c r="P25" s="2185"/>
    </row>
    <row r="26" spans="2:18" ht="14.4">
      <c r="B26" s="2179"/>
      <c r="C26" s="2220"/>
      <c r="D26" s="2181" t="s">
        <v>877</v>
      </c>
      <c r="E26" s="2182"/>
      <c r="F26" s="2231">
        <f>IF(採点LR1!J15=採点LR1!T16,判定!J63,"-")</f>
        <v>0</v>
      </c>
      <c r="G26" s="2232">
        <v>3</v>
      </c>
      <c r="H26" s="2737"/>
      <c r="I26" s="1535">
        <f>CO2データ!K236</f>
        <v>5.1991207377049181E-2</v>
      </c>
      <c r="J26" s="2233">
        <f>F26*G26*I26</f>
        <v>0</v>
      </c>
      <c r="K26" s="2232">
        <f>判定!M20</f>
        <v>90</v>
      </c>
      <c r="L26" s="2234"/>
      <c r="M26" s="2739">
        <f>IF(F21=0,0,J26/K26/$F$21)</f>
        <v>0</v>
      </c>
      <c r="N26" s="2182"/>
      <c r="O26" s="2217"/>
      <c r="P26" s="2235"/>
    </row>
    <row r="27" spans="2:18" ht="14.4" hidden="1">
      <c r="B27" s="2179"/>
      <c r="C27" s="2220"/>
      <c r="D27" s="2181" t="s">
        <v>879</v>
      </c>
      <c r="E27" s="2182"/>
      <c r="F27" s="2231"/>
      <c r="G27" s="2236"/>
      <c r="H27" s="2737"/>
      <c r="I27" s="2740"/>
      <c r="J27" s="2237">
        <f>CO2データ!F213</f>
        <v>5.09</v>
      </c>
      <c r="K27" s="2737"/>
      <c r="L27" s="2234"/>
      <c r="M27" s="2739"/>
      <c r="N27" s="2182"/>
      <c r="O27" s="2217"/>
      <c r="P27" s="2235"/>
    </row>
    <row r="28" spans="2:18" ht="14.4" hidden="1">
      <c r="B28" s="2179"/>
      <c r="C28" s="2220"/>
      <c r="D28" s="2181" t="s">
        <v>880</v>
      </c>
      <c r="E28" s="2182"/>
      <c r="F28" s="2231"/>
      <c r="G28" s="2236"/>
      <c r="H28" s="2737"/>
      <c r="I28" s="2740"/>
      <c r="J28" s="2237">
        <f>CO2データ!F214</f>
        <v>5.09</v>
      </c>
      <c r="K28" s="2737"/>
      <c r="L28" s="2234"/>
      <c r="M28" s="2739"/>
      <c r="N28" s="2182"/>
      <c r="O28" s="2217"/>
      <c r="P28" s="2235"/>
    </row>
    <row r="29" spans="2:18" ht="14.4" hidden="1">
      <c r="B29" s="2179"/>
      <c r="C29" s="2220"/>
      <c r="D29" s="2181" t="s">
        <v>910</v>
      </c>
      <c r="E29" s="2182"/>
      <c r="F29" s="2231"/>
      <c r="G29" s="2236"/>
      <c r="H29" s="2737"/>
      <c r="I29" s="2740"/>
      <c r="J29" s="2237">
        <f>CO2データ!F215</f>
        <v>5.09</v>
      </c>
      <c r="K29" s="2737"/>
      <c r="L29" s="2234"/>
      <c r="M29" s="2739"/>
      <c r="N29" s="2182"/>
      <c r="O29" s="2217"/>
      <c r="P29" s="2235"/>
    </row>
    <row r="30" spans="2:18" ht="14.4" hidden="1">
      <c r="B30" s="2587"/>
      <c r="C30" s="2220"/>
      <c r="D30" s="2181" t="s">
        <v>877</v>
      </c>
      <c r="E30" s="2182"/>
      <c r="F30" s="2231">
        <f>IF(採点LR1!J15=採点LR1!T16,判定!J63,"-")</f>
        <v>0</v>
      </c>
      <c r="G30" s="2232">
        <v>3</v>
      </c>
      <c r="H30" s="2737"/>
      <c r="I30" s="1535">
        <f>CO2データ!K236</f>
        <v>5.1991207377049181E-2</v>
      </c>
      <c r="J30" s="2233">
        <f>F30*G30*I30</f>
        <v>0</v>
      </c>
      <c r="K30" s="2232">
        <f>M23</f>
        <v>90</v>
      </c>
      <c r="L30" s="2234"/>
      <c r="M30" s="2739">
        <f>IF(F21=0,0,J30/K30/$F$21)</f>
        <v>0</v>
      </c>
      <c r="N30" s="2182"/>
      <c r="O30" s="2217"/>
      <c r="P30" s="2235"/>
    </row>
    <row r="31" spans="2:18" ht="15" thickBot="1">
      <c r="B31" s="2179"/>
      <c r="C31" s="2220"/>
      <c r="D31" s="2220"/>
      <c r="E31" s="2220"/>
      <c r="F31" s="2248" t="s">
        <v>2120</v>
      </c>
      <c r="G31" s="2220"/>
      <c r="H31" s="2220"/>
      <c r="I31" s="2183"/>
      <c r="J31" s="2183"/>
      <c r="K31" s="2183"/>
      <c r="L31" s="2183"/>
      <c r="M31" s="2183"/>
      <c r="N31" s="2182"/>
      <c r="O31" s="2217"/>
      <c r="P31" s="2235"/>
    </row>
    <row r="32" spans="2:18" ht="13.8" thickBot="1">
      <c r="B32" s="2179"/>
      <c r="C32" s="2188" t="s">
        <v>1054</v>
      </c>
      <c r="D32" s="2181"/>
      <c r="E32" s="2182"/>
      <c r="F32" s="2182"/>
      <c r="G32" s="2182"/>
      <c r="H32" s="2183"/>
      <c r="I32" s="2183"/>
      <c r="J32" s="2183"/>
      <c r="K32" s="2183"/>
      <c r="L32" s="2219"/>
      <c r="M32" s="2741">
        <f>M11*F11+M12*F12+M13*F13+SUM(M26:M29)</f>
        <v>2.7896000000000001</v>
      </c>
      <c r="N32" s="2182"/>
      <c r="O32" s="2217"/>
      <c r="P32" s="2741">
        <f>P11*F11+P12*F12+P13*F13</f>
        <v>9.52</v>
      </c>
      <c r="R32" s="2549" t="s">
        <v>2097</v>
      </c>
    </row>
    <row r="33" spans="2:18" ht="13.8" hidden="1" thickBot="1">
      <c r="B33" s="2587"/>
      <c r="C33" s="2188" t="s">
        <v>1054</v>
      </c>
      <c r="D33" s="2181"/>
      <c r="E33" s="2182"/>
      <c r="F33" s="2182"/>
      <c r="G33" s="2182"/>
      <c r="H33" s="2183"/>
      <c r="I33" s="2183"/>
      <c r="J33" s="2183"/>
      <c r="K33" s="2183"/>
      <c r="L33" s="2219"/>
      <c r="M33" s="2741">
        <f>M11*F11+M12*F12+M13*F13+SUM(M27:M30)</f>
        <v>2.7896000000000001</v>
      </c>
      <c r="N33" s="2182"/>
      <c r="O33" s="2217"/>
      <c r="P33" s="2741">
        <f>P11*F11+P12*F12+P13*F13</f>
        <v>9.52</v>
      </c>
      <c r="R33" s="2549" t="s">
        <v>2121</v>
      </c>
    </row>
    <row r="34" spans="2:18" ht="13.2">
      <c r="B34" s="2179"/>
      <c r="C34" s="2182"/>
      <c r="D34" s="2181"/>
      <c r="E34" s="2182"/>
      <c r="F34" s="2182"/>
      <c r="G34" s="2182"/>
      <c r="H34" s="2183"/>
      <c r="I34" s="2183"/>
      <c r="J34" s="2183"/>
      <c r="K34" s="2183"/>
      <c r="L34" s="2219"/>
      <c r="M34" s="2238"/>
      <c r="N34" s="2182"/>
      <c r="O34" s="2217"/>
      <c r="P34" s="2235"/>
    </row>
    <row r="35" spans="2:18" ht="13.2">
      <c r="B35" s="2179"/>
      <c r="C35" s="2182"/>
      <c r="D35" s="2181"/>
      <c r="E35" s="2182"/>
      <c r="F35" s="2182" t="s">
        <v>296</v>
      </c>
      <c r="G35" s="2183"/>
      <c r="H35" s="2183"/>
      <c r="I35" s="2223">
        <f>CO2データ!I273</f>
        <v>30</v>
      </c>
      <c r="J35" s="2223">
        <f>CO2データ!J273</f>
        <v>60</v>
      </c>
      <c r="K35" s="2223">
        <f>CO2データ!K273</f>
        <v>90</v>
      </c>
      <c r="L35" s="2239">
        <f>L40</f>
        <v>5</v>
      </c>
      <c r="M35" s="2240">
        <f>IF(L35&gt;=4.5,$K35,IF(L35&gt;=3.5,$J35,IF(L35&gt;=2.5,$I35,IF(L35&gt;=1.5,$H35,$G35))))</f>
        <v>90</v>
      </c>
      <c r="N35" s="2182"/>
      <c r="O35" s="2239">
        <v>3</v>
      </c>
      <c r="P35" s="2241">
        <f>CO2データ!I273</f>
        <v>30</v>
      </c>
    </row>
    <row r="36" spans="2:18" ht="15.6">
      <c r="B36" s="2186" t="s">
        <v>927</v>
      </c>
      <c r="C36" s="2182"/>
      <c r="D36" s="2181"/>
      <c r="E36" s="2182"/>
      <c r="F36" s="2182"/>
      <c r="G36" s="2183"/>
      <c r="H36" s="2183"/>
      <c r="I36" s="2183"/>
      <c r="J36" s="2183"/>
      <c r="K36" s="2183"/>
      <c r="L36" s="2242"/>
      <c r="M36" s="2182"/>
      <c r="N36" s="2182"/>
      <c r="O36" s="2242"/>
      <c r="P36" s="2185"/>
    </row>
    <row r="37" spans="2:18" ht="16.2" thickBot="1">
      <c r="B37" s="2243"/>
      <c r="C37" s="2188" t="s">
        <v>928</v>
      </c>
      <c r="D37" s="2181"/>
      <c r="E37" s="2182"/>
      <c r="F37" s="2182"/>
      <c r="G37" s="2183"/>
      <c r="H37" s="2183"/>
      <c r="I37" s="2183"/>
      <c r="J37" s="2183"/>
      <c r="K37" s="2183"/>
      <c r="L37" s="2242"/>
      <c r="M37" s="2191" t="s">
        <v>698</v>
      </c>
      <c r="N37" s="2182"/>
      <c r="O37" s="2242"/>
      <c r="P37" s="2187" t="s">
        <v>698</v>
      </c>
    </row>
    <row r="38" spans="2:18" ht="18" customHeight="1">
      <c r="B38" s="2179"/>
      <c r="C38" s="2182" t="s">
        <v>712</v>
      </c>
      <c r="D38" s="2181" t="s">
        <v>514</v>
      </c>
      <c r="E38" s="2182"/>
      <c r="F38" s="2182"/>
      <c r="G38" s="2183"/>
      <c r="H38" s="2183"/>
      <c r="I38" s="2182"/>
      <c r="J38" s="2183"/>
      <c r="K38" s="2191" t="s">
        <v>698</v>
      </c>
      <c r="L38" s="3118" t="s">
        <v>420</v>
      </c>
      <c r="M38" s="3119"/>
      <c r="N38" s="2183"/>
      <c r="O38" s="2803" t="s">
        <v>225</v>
      </c>
      <c r="P38" s="2804"/>
      <c r="Q38" s="2192"/>
    </row>
    <row r="39" spans="2:18" ht="18" customHeight="1">
      <c r="B39" s="2179"/>
      <c r="C39" s="2193">
        <v>1</v>
      </c>
      <c r="D39" s="2194" t="s">
        <v>44</v>
      </c>
      <c r="E39" s="2195"/>
      <c r="F39" s="2195"/>
      <c r="G39" s="2196" t="s">
        <v>291</v>
      </c>
      <c r="H39" s="2183"/>
      <c r="I39" s="2197" t="s">
        <v>222</v>
      </c>
      <c r="J39" s="2197" t="s">
        <v>223</v>
      </c>
      <c r="K39" s="2198" t="s">
        <v>224</v>
      </c>
      <c r="L39" s="2199" t="s">
        <v>226</v>
      </c>
      <c r="M39" s="2200" t="s">
        <v>699</v>
      </c>
      <c r="N39" s="2182"/>
      <c r="O39" s="2199" t="s">
        <v>226</v>
      </c>
      <c r="P39" s="2200" t="s">
        <v>699</v>
      </c>
      <c r="Q39" s="2192"/>
    </row>
    <row r="40" spans="2:18" ht="18" customHeight="1">
      <c r="B40" s="2179"/>
      <c r="C40" s="2201"/>
      <c r="D40" s="2202">
        <v>1.1000000000000001</v>
      </c>
      <c r="E40" s="2195" t="s">
        <v>193</v>
      </c>
      <c r="F40" s="2244" t="s">
        <v>313</v>
      </c>
      <c r="G40" s="2729">
        <f>F11</f>
        <v>1</v>
      </c>
      <c r="H40" s="2183"/>
      <c r="I40" s="2742">
        <f>VLOOKUP($R40,CO2データ!$H$58:$Q$105,2)</f>
        <v>2.83</v>
      </c>
      <c r="J40" s="2742">
        <f>VLOOKUP($R40,CO2データ!$H$58:$Q$105,3)</f>
        <v>4.2300000000000004</v>
      </c>
      <c r="K40" s="2743">
        <f>VLOOKUP($R40,CO2データ!$H$58:$Q$105,4)</f>
        <v>4.75</v>
      </c>
      <c r="L40" s="2203">
        <f>判定!M18</f>
        <v>5</v>
      </c>
      <c r="M40" s="2744">
        <f>IF(L40&gt;=4.5,$K40,IF(L40&gt;=3.5,$J40,IF(L40&gt;=2.5,$I40,IF(L40&gt;=1.5,$H40,$G40))))</f>
        <v>4.75</v>
      </c>
      <c r="N40" s="2182"/>
      <c r="O40" s="2203">
        <v>3</v>
      </c>
      <c r="P40" s="2744">
        <f>CO2データ!I88</f>
        <v>2.83</v>
      </c>
      <c r="R40" s="2245">
        <f>L14*100+L15*10+L17</f>
        <v>555</v>
      </c>
    </row>
    <row r="41" spans="2:18" ht="18" customHeight="1">
      <c r="B41" s="2179"/>
      <c r="C41" s="2201"/>
      <c r="D41" s="2204"/>
      <c r="E41" s="2182"/>
      <c r="F41" s="2205" t="s">
        <v>314</v>
      </c>
      <c r="G41" s="2729">
        <f>F12</f>
        <v>0</v>
      </c>
      <c r="H41" s="2183"/>
      <c r="I41" s="2742">
        <f>VLOOKUP($R41,CO2データ!$H$58:$Q$105,5)</f>
        <v>3.02</v>
      </c>
      <c r="J41" s="2742">
        <f>VLOOKUP($R41,CO2データ!$H$58:$Q$105,6)</f>
        <v>4.88</v>
      </c>
      <c r="K41" s="2743">
        <f>VLOOKUP($R41,CO2データ!$H$58:$Q$105,7)</f>
        <v>5.55</v>
      </c>
      <c r="L41" s="2203">
        <f>L40</f>
        <v>5</v>
      </c>
      <c r="M41" s="2744">
        <f>IF(L41&gt;=4.5,$K41,IF(L41&gt;=3.5,$J41,IF(L41&gt;=2.5,$I41,IF(L41&gt;=1.5,$H41,$G41))))</f>
        <v>5.55</v>
      </c>
      <c r="N41" s="2182"/>
      <c r="O41" s="2203">
        <v>3</v>
      </c>
      <c r="P41" s="2744">
        <f>CO2データ!L88</f>
        <v>3.02</v>
      </c>
      <c r="R41" s="2170">
        <f>R40</f>
        <v>555</v>
      </c>
    </row>
    <row r="42" spans="2:18" ht="18" customHeight="1" thickBot="1">
      <c r="B42" s="2179"/>
      <c r="C42" s="2213"/>
      <c r="D42" s="2206"/>
      <c r="E42" s="2246"/>
      <c r="F42" s="2207" t="s">
        <v>315</v>
      </c>
      <c r="G42" s="2729">
        <f>F13</f>
        <v>0</v>
      </c>
      <c r="H42" s="2183"/>
      <c r="I42" s="2742">
        <f>VLOOKUP($R42,CO2データ!$H$58:$Q$105,8)</f>
        <v>3.12</v>
      </c>
      <c r="J42" s="2742">
        <f>VLOOKUP($R42,CO2データ!$H$58:$Q$105,9)</f>
        <v>4.49</v>
      </c>
      <c r="K42" s="2743">
        <f>VLOOKUP($R42,CO2データ!$H$58:$Q$105,10)</f>
        <v>4.99</v>
      </c>
      <c r="L42" s="2224">
        <f>L40</f>
        <v>5</v>
      </c>
      <c r="M42" s="2745">
        <f>IF(L42&gt;=4.5,$K42,IF(L42&gt;=3.5,$J42,IF(L42&gt;=2.5,$I42,IF(L42&gt;=1.5,$H42,$G42))))</f>
        <v>4.99</v>
      </c>
      <c r="N42" s="2182"/>
      <c r="O42" s="2224">
        <v>3</v>
      </c>
      <c r="P42" s="2745">
        <f>CO2データ!O88</f>
        <v>3.12</v>
      </c>
      <c r="R42" s="2170">
        <f>R41</f>
        <v>555</v>
      </c>
    </row>
    <row r="43" spans="2:18" ht="13.8" thickBot="1">
      <c r="B43" s="2179"/>
      <c r="C43" s="2182"/>
      <c r="D43" s="2181"/>
      <c r="E43" s="2182"/>
      <c r="F43" s="2182"/>
      <c r="G43" s="2183"/>
      <c r="H43" s="2183"/>
      <c r="I43" s="2183"/>
      <c r="J43" s="2183"/>
      <c r="K43" s="2183"/>
      <c r="L43" s="2183"/>
      <c r="M43" s="2183"/>
      <c r="N43" s="2182"/>
      <c r="O43" s="2182"/>
      <c r="P43" s="2235"/>
    </row>
    <row r="44" spans="2:18" ht="13.2" hidden="1">
      <c r="B44" s="2179"/>
      <c r="C44" s="2746" t="s">
        <v>1779</v>
      </c>
      <c r="D44" s="2181"/>
      <c r="E44" s="2182"/>
      <c r="F44" s="2182"/>
      <c r="G44" s="2183"/>
      <c r="H44" s="2183"/>
      <c r="I44" s="2183"/>
      <c r="J44" s="2183"/>
      <c r="K44" s="2183"/>
      <c r="L44" s="2183"/>
      <c r="M44" s="2183"/>
      <c r="N44" s="2182"/>
      <c r="O44" s="2182"/>
      <c r="P44" s="2235"/>
    </row>
    <row r="45" spans="2:18" ht="14.4" hidden="1">
      <c r="B45" s="2179"/>
      <c r="C45" s="2220"/>
      <c r="D45" s="2181" t="s">
        <v>915</v>
      </c>
      <c r="E45" s="2182"/>
      <c r="F45" s="2247">
        <f>CO2データ!L212</f>
        <v>20</v>
      </c>
      <c r="G45" s="2183" t="s">
        <v>912</v>
      </c>
      <c r="H45" s="2183"/>
      <c r="I45" s="2183"/>
      <c r="J45" s="2183"/>
      <c r="K45" s="2183"/>
      <c r="L45" s="2183"/>
      <c r="M45" s="2183"/>
      <c r="N45" s="2182"/>
      <c r="O45" s="2182"/>
      <c r="P45" s="2235"/>
    </row>
    <row r="46" spans="2:18" ht="15.6" hidden="1">
      <c r="B46" s="2179"/>
      <c r="C46" s="2182"/>
      <c r="D46" s="2181"/>
      <c r="E46" s="2182"/>
      <c r="F46" s="2182" t="s">
        <v>917</v>
      </c>
      <c r="G46" s="2183"/>
      <c r="H46" s="2183"/>
      <c r="I46" s="2248" t="s">
        <v>911</v>
      </c>
      <c r="J46" s="2248" t="s">
        <v>875</v>
      </c>
      <c r="K46" s="2248" t="s">
        <v>876</v>
      </c>
      <c r="L46" s="2183"/>
      <c r="M46" s="2191" t="s">
        <v>698</v>
      </c>
      <c r="N46" s="2182"/>
      <c r="O46" s="2182"/>
      <c r="P46" s="2235"/>
    </row>
    <row r="47" spans="2:18" ht="13.2" hidden="1">
      <c r="B47" s="2179"/>
      <c r="C47" s="2182"/>
      <c r="D47" s="2181" t="s">
        <v>877</v>
      </c>
      <c r="E47" s="2182"/>
      <c r="F47" s="2231"/>
      <c r="G47" s="2183"/>
      <c r="H47" s="2183"/>
      <c r="I47" s="2247">
        <f>CO2データ!F212</f>
        <v>10.99</v>
      </c>
      <c r="J47" s="2747">
        <f>ROUNDDOWN($M$23/$F$45,0)</f>
        <v>4</v>
      </c>
      <c r="K47" s="2223">
        <f>F47*I47*J47</f>
        <v>0</v>
      </c>
      <c r="L47" s="2248" t="s">
        <v>919</v>
      </c>
      <c r="M47" s="2729">
        <f>IF($F$21=0,0,K47/$M$23/$F$21)</f>
        <v>0</v>
      </c>
      <c r="N47" s="2182"/>
      <c r="O47" s="2182"/>
      <c r="P47" s="2235"/>
    </row>
    <row r="48" spans="2:18" ht="13.2" hidden="1">
      <c r="B48" s="2179"/>
      <c r="C48" s="2182"/>
      <c r="D48" s="2181" t="s">
        <v>879</v>
      </c>
      <c r="E48" s="2182"/>
      <c r="F48" s="2231"/>
      <c r="G48" s="2183"/>
      <c r="H48" s="2183"/>
      <c r="I48" s="2247">
        <f>CO2データ!F213</f>
        <v>5.09</v>
      </c>
      <c r="J48" s="2747">
        <f>ROUNDDOWN($M$23/$F$45,0)</f>
        <v>4</v>
      </c>
      <c r="K48" s="2223">
        <f t="shared" ref="K48:K50" si="0">F48*I48*J48</f>
        <v>0</v>
      </c>
      <c r="L48" s="2248" t="s">
        <v>919</v>
      </c>
      <c r="M48" s="2729">
        <f>IF($F$21=0,0,K48/$M$23/$F$21)</f>
        <v>0</v>
      </c>
      <c r="N48" s="2182"/>
      <c r="O48" s="2182"/>
      <c r="P48" s="2235"/>
    </row>
    <row r="49" spans="1:256" ht="13.2" hidden="1">
      <c r="B49" s="2179"/>
      <c r="C49" s="2182"/>
      <c r="D49" s="2181" t="s">
        <v>880</v>
      </c>
      <c r="E49" s="2182"/>
      <c r="F49" s="2231"/>
      <c r="G49" s="2183"/>
      <c r="H49" s="2183"/>
      <c r="I49" s="2247">
        <f>CO2データ!F214</f>
        <v>5.09</v>
      </c>
      <c r="J49" s="2747">
        <f>ROUNDDOWN($M$23/$F$45,0)</f>
        <v>4</v>
      </c>
      <c r="K49" s="2223">
        <f t="shared" si="0"/>
        <v>0</v>
      </c>
      <c r="L49" s="2248" t="s">
        <v>919</v>
      </c>
      <c r="M49" s="2729">
        <f>IF($F$21=0,0,K49/$M$23/$F$21)</f>
        <v>0</v>
      </c>
      <c r="N49" s="2182"/>
      <c r="O49" s="2182"/>
      <c r="P49" s="2235"/>
    </row>
    <row r="50" spans="1:256" ht="13.2" hidden="1">
      <c r="B50" s="2179"/>
      <c r="C50" s="2182"/>
      <c r="D50" s="2181" t="s">
        <v>910</v>
      </c>
      <c r="E50" s="2182"/>
      <c r="F50" s="2231"/>
      <c r="G50" s="2183"/>
      <c r="H50" s="2183"/>
      <c r="I50" s="2247">
        <f>CO2データ!F215</f>
        <v>5.09</v>
      </c>
      <c r="J50" s="2747">
        <f>ROUNDDOWN($M$23/$F$45,0)</f>
        <v>4</v>
      </c>
      <c r="K50" s="2223">
        <f t="shared" si="0"/>
        <v>0</v>
      </c>
      <c r="L50" s="2248" t="s">
        <v>919</v>
      </c>
      <c r="M50" s="2729">
        <f>IF($F$21=0,0,K50/$M$23/$F$21)</f>
        <v>0</v>
      </c>
      <c r="N50" s="2182"/>
      <c r="O50" s="2182"/>
      <c r="P50" s="2235"/>
    </row>
    <row r="51" spans="1:256" ht="13.8" hidden="1" thickBot="1">
      <c r="B51" s="2179"/>
      <c r="C51" s="2182"/>
      <c r="D51" s="2181"/>
      <c r="E51" s="2182"/>
      <c r="F51" s="2182"/>
      <c r="G51" s="2183"/>
      <c r="H51" s="2183"/>
      <c r="I51" s="2183"/>
      <c r="J51" s="2183"/>
      <c r="K51" s="2183"/>
      <c r="L51" s="2183"/>
      <c r="M51" s="2183"/>
      <c r="N51" s="2182"/>
      <c r="O51" s="2182"/>
      <c r="P51" s="2748"/>
    </row>
    <row r="52" spans="1:256" ht="13.8" thickBot="1">
      <c r="B52" s="2179"/>
      <c r="C52" s="2188" t="s">
        <v>922</v>
      </c>
      <c r="D52" s="2181"/>
      <c r="E52" s="2182"/>
      <c r="F52" s="2182"/>
      <c r="G52" s="2182"/>
      <c r="H52" s="2183"/>
      <c r="I52" s="2183"/>
      <c r="J52" s="2183"/>
      <c r="K52" s="2183"/>
      <c r="L52" s="2249"/>
      <c r="M52" s="2741">
        <f>M40*G40+M41*G41+M42*G42+SUM(M47:M50)</f>
        <v>4.75</v>
      </c>
      <c r="N52" s="2182"/>
      <c r="O52" s="2182"/>
      <c r="P52" s="2741">
        <f>P40*G40+P41*G41+P42*G42</f>
        <v>2.83</v>
      </c>
    </row>
    <row r="53" spans="1:256" ht="13.2">
      <c r="B53" s="2179"/>
      <c r="C53" s="2182"/>
      <c r="D53" s="2181"/>
      <c r="E53" s="2182"/>
      <c r="F53" s="2182"/>
      <c r="G53" s="2182"/>
      <c r="H53" s="2183"/>
      <c r="I53" s="2183"/>
      <c r="J53" s="2183"/>
      <c r="K53" s="2183"/>
      <c r="L53" s="2249"/>
      <c r="M53" s="2238"/>
      <c r="N53" s="2182"/>
      <c r="O53" s="2182"/>
      <c r="P53" s="2235"/>
    </row>
    <row r="54" spans="1:256" ht="18" customHeight="1" thickBot="1">
      <c r="B54" s="2186" t="s">
        <v>929</v>
      </c>
      <c r="C54" s="2180"/>
      <c r="D54" s="2250"/>
      <c r="E54" s="2180"/>
      <c r="F54" s="2182"/>
      <c r="G54" s="2183"/>
      <c r="H54" s="2183"/>
      <c r="I54" s="2183"/>
      <c r="J54" s="2183"/>
      <c r="K54" s="2183"/>
      <c r="L54" s="2251"/>
      <c r="M54" s="2191" t="s">
        <v>698</v>
      </c>
      <c r="N54" s="2182"/>
      <c r="O54" s="2242"/>
      <c r="P54" s="2187" t="s">
        <v>698</v>
      </c>
    </row>
    <row r="55" spans="1:256" ht="16.5" customHeight="1" thickBot="1">
      <c r="A55"/>
      <c r="B55" s="2186"/>
      <c r="C55" s="2188" t="s">
        <v>599</v>
      </c>
      <c r="D55" s="10"/>
      <c r="E55" s="10"/>
      <c r="F55" s="1331"/>
      <c r="G55" s="10"/>
      <c r="H55" s="10"/>
      <c r="I55" s="10"/>
      <c r="J55" s="10"/>
      <c r="K55" s="10"/>
      <c r="L55" s="1332" t="s">
        <v>600</v>
      </c>
      <c r="M55" s="2749">
        <f>IFERROR(IF(採点LR1!J15=採点LR1!T16,M59,M64)+M73,"")</f>
        <v>29.86964678777413</v>
      </c>
      <c r="N55" s="2182"/>
      <c r="O55" s="2252" t="s">
        <v>601</v>
      </c>
      <c r="P55" s="1333">
        <f>IFERROR(IF(採点LR1!J15=採点LR1!T16,P59,P64)+P73,"")</f>
        <v>38.802961218453483</v>
      </c>
      <c r="Q55"/>
      <c r="R55" s="2549" t="s">
        <v>2097</v>
      </c>
      <c r="S55" s="2366" t="s">
        <v>1810</v>
      </c>
      <c r="T55" s="4"/>
      <c r="U55"/>
      <c r="V55"/>
      <c r="W55"/>
      <c r="X55" s="4"/>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6.5" hidden="1" customHeight="1" thickBot="1">
      <c r="A56"/>
      <c r="B56" s="2588"/>
      <c r="C56" s="2188" t="s">
        <v>599</v>
      </c>
      <c r="D56" s="10"/>
      <c r="E56" s="10"/>
      <c r="F56" s="1331"/>
      <c r="G56" s="10"/>
      <c r="H56" s="10"/>
      <c r="I56" s="10"/>
      <c r="J56" s="10"/>
      <c r="K56" s="10"/>
      <c r="L56" s="1332" t="s">
        <v>600</v>
      </c>
      <c r="M56" s="2749" t="str">
        <f>IFERROR(M60+M65+M73,"")</f>
        <v/>
      </c>
      <c r="N56" s="2182"/>
      <c r="O56" s="2252" t="s">
        <v>601</v>
      </c>
      <c r="P56" s="2749" t="str">
        <f>IFERROR(P60+P65+P67+P73,"")</f>
        <v/>
      </c>
      <c r="Q56"/>
      <c r="R56" s="2549" t="s">
        <v>2121</v>
      </c>
      <c r="S56" s="2366"/>
      <c r="T56" s="4"/>
      <c r="U56"/>
      <c r="V56"/>
      <c r="W56"/>
      <c r="X56" s="4"/>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 customHeight="1">
      <c r="A57"/>
      <c r="B57" s="2186"/>
      <c r="C57" s="2188"/>
      <c r="D57" s="10"/>
      <c r="E57" s="10"/>
      <c r="F57" s="10"/>
      <c r="G57" s="2750" t="s">
        <v>904</v>
      </c>
      <c r="H57" s="10"/>
      <c r="I57" s="1196" t="s">
        <v>900</v>
      </c>
      <c r="J57" s="10"/>
      <c r="K57" s="1196" t="s">
        <v>987</v>
      </c>
      <c r="L57" s="716"/>
      <c r="M57" s="2191"/>
      <c r="N57" s="2182"/>
      <c r="O57" s="2252"/>
      <c r="P57" s="1335"/>
      <c r="Q57"/>
      <c r="R57"/>
      <c r="S57"/>
      <c r="T57" s="4"/>
      <c r="U57"/>
      <c r="V57"/>
      <c r="W57"/>
      <c r="X57" s="4"/>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8" customHeight="1">
      <c r="A58"/>
      <c r="B58" s="2186"/>
      <c r="C58" s="2188"/>
      <c r="D58" s="10"/>
      <c r="E58" s="10"/>
      <c r="F58" s="10"/>
      <c r="G58" s="2191" t="s">
        <v>984</v>
      </c>
      <c r="H58" s="10"/>
      <c r="I58" s="1371" t="s">
        <v>901</v>
      </c>
      <c r="J58" s="1371" t="s">
        <v>902</v>
      </c>
      <c r="K58" s="2181" t="s">
        <v>903</v>
      </c>
      <c r="L58" s="1336"/>
      <c r="M58" s="2191" t="s">
        <v>698</v>
      </c>
      <c r="N58" s="2182"/>
      <c r="O58" s="2242"/>
      <c r="P58" s="2187" t="s">
        <v>698</v>
      </c>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5.6">
      <c r="A59"/>
      <c r="B59" s="2186"/>
      <c r="C59" s="2188"/>
      <c r="D59" s="10" t="s">
        <v>2165</v>
      </c>
      <c r="E59" s="1337"/>
      <c r="F59" s="1194" t="s">
        <v>904</v>
      </c>
      <c r="G59" s="2221">
        <f>IFERROR(IF(採点LR1!J15=採点LR1!T16,判定!I6,0),"")</f>
        <v>120.8</v>
      </c>
      <c r="H59" s="10"/>
      <c r="I59" s="2424">
        <f>(判定!G62-判定!G65)*0.9+判定!G65</f>
        <v>88879.6</v>
      </c>
      <c r="J59" s="1405">
        <f>判定!G63</f>
        <v>68315</v>
      </c>
      <c r="K59" s="1338">
        <f>CO2データ!K236</f>
        <v>5.1991207377049181E-2</v>
      </c>
      <c r="L59" s="1339"/>
      <c r="M59" s="2221">
        <f>J59*K59/G59</f>
        <v>29.402146787774129</v>
      </c>
      <c r="N59" s="2182"/>
      <c r="O59" s="2252"/>
      <c r="P59" s="2253">
        <f>I59*K59/G59</f>
        <v>38.252961218453486</v>
      </c>
      <c r="Q59"/>
      <c r="R59" s="2549" t="s">
        <v>2097</v>
      </c>
      <c r="S59" s="2366" t="s">
        <v>1810</v>
      </c>
      <c r="T59"/>
      <c r="U59"/>
      <c r="V59" s="2366" t="s">
        <v>1841</v>
      </c>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5.6" hidden="1">
      <c r="A60"/>
      <c r="B60" s="2588"/>
      <c r="C60" s="2188"/>
      <c r="D60" s="10" t="s">
        <v>2165</v>
      </c>
      <c r="E60" s="1337"/>
      <c r="F60" s="1194"/>
      <c r="G60" s="2221"/>
      <c r="H60" s="10"/>
      <c r="I60" s="2424"/>
      <c r="J60" s="1405"/>
      <c r="K60" s="1338">
        <f>CO2データ!K236</f>
        <v>5.1991207377049181E-2</v>
      </c>
      <c r="L60" s="1339"/>
      <c r="M60" s="2221" t="e">
        <f>J60*K60/G60</f>
        <v>#DIV/0!</v>
      </c>
      <c r="N60" s="2182"/>
      <c r="O60" s="2252"/>
      <c r="P60" s="2253" t="e">
        <f>I60*K60/G60</f>
        <v>#DIV/0!</v>
      </c>
      <c r="Q60"/>
      <c r="R60" s="2549" t="s">
        <v>2121</v>
      </c>
      <c r="S60" s="2366"/>
      <c r="T60"/>
      <c r="U60"/>
      <c r="V60" s="2366"/>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3.2">
      <c r="A61"/>
      <c r="B61" s="2186"/>
      <c r="C61" s="2188"/>
      <c r="D61" s="10" t="s">
        <v>1799</v>
      </c>
      <c r="E61" s="1337"/>
      <c r="F61" s="1337"/>
      <c r="G61" s="2248" t="s">
        <v>2123</v>
      </c>
      <c r="H61" s="1337"/>
      <c r="I61" s="1337"/>
      <c r="J61" s="1337"/>
      <c r="K61" s="1337"/>
      <c r="L61" s="1342"/>
      <c r="M61" s="1342"/>
      <c r="N61" s="1342"/>
      <c r="O61" s="2252"/>
      <c r="P61" s="1335"/>
      <c r="Q61"/>
      <c r="R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3.2">
      <c r="A62"/>
      <c r="B62" s="2186"/>
      <c r="C62" s="2188"/>
      <c r="D62" s="10"/>
      <c r="E62" s="1337"/>
      <c r="F62" s="10"/>
      <c r="G62" s="1337"/>
      <c r="H62" s="10"/>
      <c r="I62" s="1371" t="s">
        <v>901</v>
      </c>
      <c r="J62" s="1371" t="s">
        <v>902</v>
      </c>
      <c r="K62" s="1194"/>
      <c r="L62" s="1342"/>
      <c r="M62" s="1342"/>
      <c r="N62" s="1342"/>
      <c r="O62" s="2252"/>
      <c r="P62" s="1335"/>
      <c r="Q62"/>
      <c r="R62" s="2549" t="s">
        <v>2097</v>
      </c>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3.2">
      <c r="A63"/>
      <c r="B63" s="2186"/>
      <c r="C63" s="2188"/>
      <c r="D63" s="10"/>
      <c r="E63" s="10"/>
      <c r="F63" s="10"/>
      <c r="G63" s="1337"/>
      <c r="H63" s="10"/>
      <c r="I63" s="2191" t="s">
        <v>983</v>
      </c>
      <c r="J63" s="2191" t="s">
        <v>983</v>
      </c>
      <c r="K63" s="1194"/>
      <c r="L63" s="1342"/>
      <c r="M63" s="1342"/>
      <c r="N63" s="1342"/>
      <c r="O63" s="2252"/>
      <c r="P63" s="1335"/>
      <c r="Q63"/>
      <c r="R63" s="2549" t="s">
        <v>2097</v>
      </c>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5.6">
      <c r="A64"/>
      <c r="B64" s="2186"/>
      <c r="C64" s="2188"/>
      <c r="D64" s="10"/>
      <c r="E64" s="1337" t="s">
        <v>989</v>
      </c>
      <c r="F64" s="10"/>
      <c r="G64" s="1337"/>
      <c r="H64" s="1194"/>
      <c r="I64" s="2221">
        <f>CO2データ!I266</f>
        <v>812.86392405063293</v>
      </c>
      <c r="J64" s="2221">
        <f>CO2データ!I265</f>
        <v>1214.0489673550967</v>
      </c>
      <c r="K64" s="1338">
        <f>K59</f>
        <v>5.1991207377049181E-2</v>
      </c>
      <c r="L64" s="1342"/>
      <c r="M64" s="2221">
        <f>J64*K64</f>
        <v>63.119871627651243</v>
      </c>
      <c r="N64" s="1342"/>
      <c r="O64" s="2252"/>
      <c r="P64" s="2253">
        <f>I64*K64</f>
        <v>42.261776844638412</v>
      </c>
      <c r="Q64"/>
      <c r="R64" s="2549" t="s">
        <v>2097</v>
      </c>
      <c r="S64" s="2366" t="s">
        <v>1810</v>
      </c>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5.6" hidden="1">
      <c r="A65"/>
      <c r="B65" s="2588"/>
      <c r="C65" s="2188"/>
      <c r="D65" s="10"/>
      <c r="E65" s="1337" t="s">
        <v>2166</v>
      </c>
      <c r="F65" s="10"/>
      <c r="G65" s="2221"/>
      <c r="H65" s="1194"/>
      <c r="I65" s="2221"/>
      <c r="J65" s="2221"/>
      <c r="K65" s="1338">
        <f>K60</f>
        <v>5.1991207377049181E-2</v>
      </c>
      <c r="L65" s="1342"/>
      <c r="M65" s="2221">
        <f>J65*K65</f>
        <v>0</v>
      </c>
      <c r="N65" s="1342"/>
      <c r="O65" s="2252"/>
      <c r="P65" s="2253">
        <f>I65*K65</f>
        <v>0</v>
      </c>
      <c r="Q65"/>
      <c r="R65" s="2549" t="s">
        <v>2121</v>
      </c>
      <c r="S65" s="2366"/>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3.2" hidden="1">
      <c r="A66"/>
      <c r="B66" s="2186"/>
      <c r="C66" s="2188"/>
      <c r="D66" s="10"/>
      <c r="E66" s="1337"/>
      <c r="F66" s="1340"/>
      <c r="G66" s="2248" t="s">
        <v>2124</v>
      </c>
      <c r="H66" s="1194"/>
      <c r="I66" s="2254"/>
      <c r="J66" s="1337"/>
      <c r="K66" s="1342"/>
      <c r="L66" s="1342"/>
      <c r="M66" s="1342"/>
      <c r="N66" s="1342"/>
      <c r="O66" s="2252"/>
      <c r="P66" s="1335"/>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3.2" hidden="1">
      <c r="A67"/>
      <c r="B67" s="2588"/>
      <c r="C67" s="2188"/>
      <c r="D67" s="10" t="s">
        <v>2125</v>
      </c>
      <c r="E67" s="1337"/>
      <c r="F67" s="10"/>
      <c r="G67" s="2751"/>
      <c r="H67" s="10"/>
      <c r="I67" s="2751"/>
      <c r="J67" s="2751"/>
      <c r="K67" s="9">
        <f>CO2データ!J219</f>
        <v>4.8872950819672127E-2</v>
      </c>
      <c r="L67" s="10"/>
      <c r="M67" s="2221" t="e">
        <f>J67*K67/G67</f>
        <v>#DIV/0!</v>
      </c>
      <c r="N67" s="2182"/>
      <c r="O67" s="2252"/>
      <c r="P67" s="2253" t="e">
        <f>I67*K67/G67</f>
        <v>#DIV/0!</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3.2" hidden="1">
      <c r="A68"/>
      <c r="B68" s="2588"/>
      <c r="C68" s="2188"/>
      <c r="D68" s="10"/>
      <c r="E68" s="1337"/>
      <c r="F68" s="1340"/>
      <c r="G68" s="2248"/>
      <c r="H68" s="1194"/>
      <c r="I68" s="2254"/>
      <c r="J68" s="1337"/>
      <c r="K68" s="2248" t="s">
        <v>2126</v>
      </c>
      <c r="L68" s="1342"/>
      <c r="M68" s="1342"/>
      <c r="N68" s="1342"/>
      <c r="O68" s="2252"/>
      <c r="P68" s="1335"/>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3.2">
      <c r="A69"/>
      <c r="B69" s="2588"/>
      <c r="C69" s="2188"/>
      <c r="D69" s="10"/>
      <c r="E69" s="1337"/>
      <c r="F69" s="1340"/>
      <c r="G69" s="2248"/>
      <c r="H69" s="1194"/>
      <c r="I69" s="2254"/>
      <c r="J69" s="1337"/>
      <c r="K69" s="1342"/>
      <c r="L69" s="1342"/>
      <c r="M69" s="1342"/>
      <c r="N69" s="1342"/>
      <c r="O69" s="2252"/>
      <c r="P69" s="1335"/>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8" customHeight="1">
      <c r="A70"/>
      <c r="B70" s="2186"/>
      <c r="C70" s="2188"/>
      <c r="D70" s="10"/>
      <c r="E70" s="1337"/>
      <c r="F70" s="2197" t="s">
        <v>602</v>
      </c>
      <c r="G70" s="2198" t="s">
        <v>603</v>
      </c>
      <c r="H70" s="2255"/>
      <c r="I70" s="2197" t="s">
        <v>604</v>
      </c>
      <c r="J70" s="2197" t="s">
        <v>223</v>
      </c>
      <c r="K70" s="2197" t="s">
        <v>605</v>
      </c>
      <c r="L70" s="2256" t="s">
        <v>606</v>
      </c>
      <c r="M70" s="2197" t="s">
        <v>607</v>
      </c>
      <c r="N70" s="1342"/>
      <c r="O70" s="2256" t="s">
        <v>606</v>
      </c>
      <c r="P70" s="2257" t="s">
        <v>607</v>
      </c>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8" customHeight="1">
      <c r="A71"/>
      <c r="B71" s="2186"/>
      <c r="C71" s="2188"/>
      <c r="D71" s="2258" t="s">
        <v>990</v>
      </c>
      <c r="E71" s="1337"/>
      <c r="F71" s="2259">
        <v>1.1499999999999999</v>
      </c>
      <c r="G71" s="2260" t="s">
        <v>435</v>
      </c>
      <c r="H71" s="2261"/>
      <c r="I71" s="2259">
        <v>1</v>
      </c>
      <c r="J71" s="2259">
        <v>0.85</v>
      </c>
      <c r="K71" s="2259">
        <v>0.7</v>
      </c>
      <c r="L71" s="2262">
        <f>判定!M66</f>
        <v>4</v>
      </c>
      <c r="M71" s="2263">
        <f>IF(L71&gt;=5,$K71,IF(L71&gt;=4,$J71,IF(L71&gt;=3,$I71,$F71)))</f>
        <v>0.85</v>
      </c>
      <c r="N71" s="2182"/>
      <c r="O71" s="2262">
        <v>3</v>
      </c>
      <c r="P71" s="2264">
        <v>1</v>
      </c>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8" customHeight="1">
      <c r="A72"/>
      <c r="B72" s="2186"/>
      <c r="C72" s="2188"/>
      <c r="D72" s="2258"/>
      <c r="E72" s="1337"/>
      <c r="F72" s="1340"/>
      <c r="G72" s="1337"/>
      <c r="H72" s="1194"/>
      <c r="I72" s="2265" t="s">
        <v>609</v>
      </c>
      <c r="J72" s="1337"/>
      <c r="K72" s="1342"/>
      <c r="L72" s="1336"/>
      <c r="M72" s="2266"/>
      <c r="N72" s="2182"/>
      <c r="O72" s="2252"/>
      <c r="P72" s="2267"/>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8" customHeight="1">
      <c r="A73"/>
      <c r="B73" s="2186"/>
      <c r="C73" s="2188"/>
      <c r="D73" s="2258"/>
      <c r="E73" s="1337" t="s">
        <v>986</v>
      </c>
      <c r="F73" s="1340"/>
      <c r="G73" s="1337"/>
      <c r="H73" s="1194"/>
      <c r="I73" s="2268">
        <v>0.55000000000000004</v>
      </c>
      <c r="J73" s="2181" t="s">
        <v>698</v>
      </c>
      <c r="K73" s="1342"/>
      <c r="L73" s="1336"/>
      <c r="M73" s="2268">
        <f>I73*M71</f>
        <v>0.46750000000000003</v>
      </c>
      <c r="N73" s="2182"/>
      <c r="O73" s="2252"/>
      <c r="P73" s="2269">
        <f>I73*P71</f>
        <v>0.55000000000000004</v>
      </c>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3.2" hidden="1">
      <c r="A74"/>
      <c r="B74" s="2186"/>
      <c r="C74" s="2188"/>
      <c r="D74" s="10"/>
      <c r="E74" s="10"/>
      <c r="F74" s="10"/>
      <c r="G74" s="10"/>
      <c r="H74" s="10"/>
      <c r="I74" s="10"/>
      <c r="J74" s="10"/>
      <c r="K74" s="10"/>
      <c r="L74" s="10"/>
      <c r="M74" s="2270"/>
      <c r="N74" s="2182"/>
      <c r="O74" s="2252"/>
      <c r="P74" s="1335"/>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3.2" hidden="1">
      <c r="A75"/>
      <c r="B75" s="2186"/>
      <c r="C75" s="2188"/>
      <c r="D75" s="2258" t="s">
        <v>610</v>
      </c>
      <c r="E75" s="10"/>
      <c r="F75" s="10"/>
      <c r="G75" s="10"/>
      <c r="H75" s="10"/>
      <c r="I75" s="2197" t="s">
        <v>222</v>
      </c>
      <c r="J75" s="2197" t="s">
        <v>223</v>
      </c>
      <c r="K75" s="2197" t="s">
        <v>224</v>
      </c>
      <c r="L75" s="2256" t="s">
        <v>606</v>
      </c>
      <c r="M75" s="2256" t="s">
        <v>611</v>
      </c>
      <c r="N75" s="2182"/>
      <c r="O75" s="2252"/>
      <c r="P75" s="133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3.2" hidden="1">
      <c r="A76"/>
      <c r="B76" s="2186"/>
      <c r="C76" s="2188"/>
      <c r="D76" s="10"/>
      <c r="E76" s="10"/>
      <c r="F76" s="10"/>
      <c r="G76" s="10"/>
      <c r="H76" s="10"/>
      <c r="I76" s="2752">
        <v>1</v>
      </c>
      <c r="J76" s="2753">
        <v>0.97499999999999998</v>
      </c>
      <c r="K76" s="2752">
        <v>0.95</v>
      </c>
      <c r="L76" s="2262"/>
      <c r="M76" s="2271">
        <f>IF(L76&gt;=5,$K76,IF(L76&gt;=4,$J76,$I76))</f>
        <v>1</v>
      </c>
      <c r="N76" s="2182"/>
      <c r="O76" s="2252"/>
      <c r="P76" s="1335"/>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3.8" thickBot="1">
      <c r="A77"/>
      <c r="B77" s="2186"/>
      <c r="C77" s="10"/>
      <c r="D77" s="10"/>
      <c r="E77" s="10"/>
      <c r="F77" s="10"/>
      <c r="G77" s="10"/>
      <c r="H77" s="10"/>
      <c r="I77" s="10"/>
      <c r="J77" s="10"/>
      <c r="K77" s="10"/>
      <c r="L77" s="10"/>
      <c r="M77" s="2191"/>
      <c r="N77" s="2182"/>
      <c r="O77" s="2182"/>
      <c r="P77" s="218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3.8" thickBot="1">
      <c r="A78"/>
      <c r="B78" s="1359"/>
      <c r="C78" s="2188" t="s">
        <v>612</v>
      </c>
      <c r="D78" s="10"/>
      <c r="E78" s="10"/>
      <c r="F78" s="10"/>
      <c r="G78" s="10"/>
      <c r="H78" s="10"/>
      <c r="I78" s="10"/>
      <c r="J78" s="10"/>
      <c r="K78" s="10"/>
      <c r="L78" s="1332" t="s">
        <v>923</v>
      </c>
      <c r="M78" s="2606">
        <f>M84+M73</f>
        <v>29.86964678777413</v>
      </c>
      <c r="N78" s="10"/>
      <c r="O78" s="10"/>
      <c r="P78" s="1361"/>
      <c r="Q78"/>
      <c r="R78" s="2549" t="s">
        <v>2097</v>
      </c>
      <c r="S78" t="s">
        <v>166</v>
      </c>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3.8" hidden="1" thickBot="1">
      <c r="A79"/>
      <c r="B79" s="2589"/>
      <c r="C79" s="2188" t="s">
        <v>612</v>
      </c>
      <c r="D79" s="10"/>
      <c r="E79" s="10"/>
      <c r="F79" s="10"/>
      <c r="G79" s="10"/>
      <c r="H79" s="10"/>
      <c r="I79" s="10"/>
      <c r="J79" s="10"/>
      <c r="K79" s="10"/>
      <c r="L79" s="1332" t="s">
        <v>923</v>
      </c>
      <c r="M79" s="2754">
        <f>M85+M73</f>
        <v>0.46750000000000003</v>
      </c>
      <c r="N79" s="10"/>
      <c r="O79" s="10"/>
      <c r="P79" s="1361"/>
      <c r="Q79"/>
      <c r="R79" s="2549" t="s">
        <v>2121</v>
      </c>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8" customHeight="1">
      <c r="A80"/>
      <c r="B80" s="1359"/>
      <c r="C80" s="2188"/>
      <c r="D80" s="10"/>
      <c r="E80" s="10"/>
      <c r="F80" s="10"/>
      <c r="G80" s="1194" t="s">
        <v>937</v>
      </c>
      <c r="H80" s="10"/>
      <c r="I80" s="2425">
        <f>IF(採点LR1!J15=採点LR1!T16,判定!J63+判定!J64+判定!G64,"-")</f>
        <v>0</v>
      </c>
      <c r="J80" s="1337" t="s">
        <v>2122</v>
      </c>
      <c r="K80" s="10"/>
      <c r="L80" s="10"/>
      <c r="M80" s="10"/>
      <c r="N80" s="10"/>
      <c r="O80" s="10"/>
      <c r="P80" s="1361"/>
      <c r="Q80"/>
      <c r="R80" s="2549" t="s">
        <v>2097</v>
      </c>
      <c r="S80" s="2408" t="s">
        <v>1840</v>
      </c>
      <c r="T80"/>
      <c r="U80"/>
      <c r="V80"/>
      <c r="W80" s="2366"/>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8" hidden="1" customHeight="1">
      <c r="A81"/>
      <c r="B81" s="2589"/>
      <c r="C81" s="2188"/>
      <c r="D81" s="10"/>
      <c r="E81" s="10"/>
      <c r="F81" s="10"/>
      <c r="G81" s="1194" t="s">
        <v>937</v>
      </c>
      <c r="H81" s="10"/>
      <c r="I81" s="2425"/>
      <c r="J81" s="1337" t="s">
        <v>2122</v>
      </c>
      <c r="K81" s="10"/>
      <c r="L81" s="10"/>
      <c r="M81" s="10"/>
      <c r="N81" s="10"/>
      <c r="O81" s="10"/>
      <c r="P81" s="1361"/>
      <c r="Q81"/>
      <c r="R81" s="2549" t="s">
        <v>2121</v>
      </c>
      <c r="S81" s="2408"/>
      <c r="T81"/>
      <c r="U81"/>
      <c r="V81"/>
      <c r="W81" s="2366"/>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5.6">
      <c r="A82"/>
      <c r="B82" s="1359"/>
      <c r="C82" s="2188"/>
      <c r="D82" s="10"/>
      <c r="E82" s="10"/>
      <c r="F82" s="10"/>
      <c r="G82" s="10"/>
      <c r="H82" s="10"/>
      <c r="I82" s="2272"/>
      <c r="J82" s="1194" t="s">
        <v>905</v>
      </c>
      <c r="K82" s="10" t="s">
        <v>987</v>
      </c>
      <c r="L82" s="10"/>
      <c r="M82" s="10"/>
      <c r="N82" s="10"/>
      <c r="O82" s="10"/>
      <c r="P82" s="1361"/>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5.6">
      <c r="A83"/>
      <c r="B83" s="1359"/>
      <c r="C83" s="2188"/>
      <c r="D83" s="10"/>
      <c r="E83" s="10"/>
      <c r="F83" s="10"/>
      <c r="G83" s="2191" t="s">
        <v>984</v>
      </c>
      <c r="H83" s="10"/>
      <c r="I83" s="1371"/>
      <c r="J83" s="1371" t="s">
        <v>583</v>
      </c>
      <c r="K83" s="2181" t="s">
        <v>903</v>
      </c>
      <c r="L83" s="10"/>
      <c r="M83" s="2191" t="s">
        <v>698</v>
      </c>
      <c r="N83" s="10"/>
      <c r="O83" s="10"/>
      <c r="P83" s="1361"/>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2273" customFormat="1" ht="18.600000000000001" customHeight="1">
      <c r="B84" s="2274"/>
      <c r="C84" s="2275"/>
      <c r="D84" s="2276"/>
      <c r="E84" s="10"/>
      <c r="F84" s="1194" t="s">
        <v>904</v>
      </c>
      <c r="G84" s="2221">
        <f>メイン!C23</f>
        <v>120.8</v>
      </c>
      <c r="H84" s="10"/>
      <c r="I84" s="1371" t="s">
        <v>907</v>
      </c>
      <c r="J84" s="2426">
        <f>IF(採点LR1!J15=採点LR1!T16,J59-I80,J64*G84)</f>
        <v>68315</v>
      </c>
      <c r="K84" s="1338">
        <f>K59</f>
        <v>5.1991207377049181E-2</v>
      </c>
      <c r="L84" s="10"/>
      <c r="M84" s="2268">
        <f>J84*K84/G84</f>
        <v>29.402146787774129</v>
      </c>
      <c r="N84" s="2277"/>
      <c r="O84" s="2277"/>
      <c r="P84" s="2278"/>
      <c r="R84" s="2549" t="s">
        <v>2097</v>
      </c>
      <c r="S84" s="2408" t="s">
        <v>2145</v>
      </c>
    </row>
    <row r="85" spans="1:256" s="2273" customFormat="1" ht="18.600000000000001" hidden="1" customHeight="1">
      <c r="B85" s="2590"/>
      <c r="C85" s="2275"/>
      <c r="D85" s="2276"/>
      <c r="E85" s="10"/>
      <c r="F85" s="1194" t="s">
        <v>904</v>
      </c>
      <c r="G85" s="2221">
        <f>G59</f>
        <v>120.8</v>
      </c>
      <c r="H85" s="10"/>
      <c r="I85" s="1371" t="s">
        <v>907</v>
      </c>
      <c r="J85" s="2426">
        <f>J60+J65-I81</f>
        <v>0</v>
      </c>
      <c r="K85" s="1338">
        <f>K60</f>
        <v>5.1991207377049181E-2</v>
      </c>
      <c r="L85" s="10"/>
      <c r="M85" s="2268">
        <f>J85*K85/G85</f>
        <v>0</v>
      </c>
      <c r="N85" s="2277"/>
      <c r="O85" s="2277"/>
      <c r="P85" s="2278"/>
      <c r="R85" s="2549" t="s">
        <v>2121</v>
      </c>
      <c r="S85" s="2408"/>
    </row>
    <row r="86" spans="1:256" s="2273" customFormat="1" ht="13.2">
      <c r="B86" s="2274"/>
      <c r="C86" s="2275"/>
      <c r="D86" s="2276"/>
      <c r="E86" s="10"/>
      <c r="F86" s="1194"/>
      <c r="G86" s="2272"/>
      <c r="H86" s="10"/>
      <c r="I86" s="1371"/>
      <c r="J86" s="1376"/>
      <c r="K86" s="1340"/>
      <c r="L86" s="10"/>
      <c r="M86" s="2279"/>
      <c r="N86" s="2277"/>
      <c r="O86" s="2427"/>
      <c r="P86" s="2278"/>
    </row>
    <row r="87" spans="1:256" ht="16.2" thickBot="1">
      <c r="B87" s="2186" t="s">
        <v>930</v>
      </c>
      <c r="C87" s="2182"/>
      <c r="D87" s="2181"/>
      <c r="E87" s="2182"/>
      <c r="F87" s="2182"/>
      <c r="G87" s="2183"/>
      <c r="H87" s="2183"/>
      <c r="I87" s="2183"/>
      <c r="J87" s="2183"/>
      <c r="K87" s="2183"/>
      <c r="L87" s="2249"/>
      <c r="M87" s="2191" t="s">
        <v>698</v>
      </c>
      <c r="N87" s="2182"/>
      <c r="O87" s="2182"/>
      <c r="P87" s="2187" t="s">
        <v>698</v>
      </c>
      <c r="S87"/>
    </row>
    <row r="88" spans="1:256" ht="18" customHeight="1">
      <c r="B88" s="2243"/>
      <c r="C88" s="2182"/>
      <c r="D88" s="2181"/>
      <c r="E88" s="2182"/>
      <c r="F88" s="2182"/>
      <c r="G88" s="2183"/>
      <c r="H88" s="2183"/>
      <c r="I88" s="2183"/>
      <c r="J88" s="2183"/>
      <c r="K88" s="2183"/>
      <c r="L88" s="2249"/>
      <c r="M88" s="2280" t="s">
        <v>420</v>
      </c>
      <c r="N88" s="2182"/>
      <c r="O88" s="2190"/>
      <c r="P88" s="2280" t="s">
        <v>225</v>
      </c>
      <c r="S88" t="s">
        <v>166</v>
      </c>
    </row>
    <row r="89" spans="1:256" ht="18" customHeight="1">
      <c r="B89" s="2179"/>
      <c r="C89" s="2755" t="s">
        <v>130</v>
      </c>
      <c r="D89" s="2209"/>
      <c r="E89" s="2209"/>
      <c r="F89" s="2209"/>
      <c r="G89" s="2733"/>
      <c r="H89" s="2183"/>
      <c r="I89" s="2183"/>
      <c r="J89" s="2183"/>
      <c r="K89" s="2183"/>
      <c r="L89" s="2249"/>
      <c r="M89" s="2756">
        <f>IF(メイン!$C$11=メイン!$I$10,M32,M33)</f>
        <v>2.7896000000000001</v>
      </c>
      <c r="N89" s="2281"/>
      <c r="O89" s="2281"/>
      <c r="P89" s="2756">
        <f>IF(メイン!$C$11=メイン!$I$10,P32,P33)</f>
        <v>9.52</v>
      </c>
    </row>
    <row r="90" spans="1:256" ht="18" customHeight="1">
      <c r="B90" s="2179"/>
      <c r="C90" s="2755" t="s">
        <v>297</v>
      </c>
      <c r="D90" s="2209"/>
      <c r="E90" s="2209"/>
      <c r="F90" s="2209"/>
      <c r="G90" s="2733"/>
      <c r="H90" s="2183"/>
      <c r="I90" s="2183"/>
      <c r="J90" s="2183"/>
      <c r="K90" s="2183"/>
      <c r="L90" s="2249"/>
      <c r="M90" s="2756">
        <f>M52</f>
        <v>4.75</v>
      </c>
      <c r="N90" s="2281"/>
      <c r="O90" s="2281"/>
      <c r="P90" s="2756">
        <f>P52</f>
        <v>2.83</v>
      </c>
    </row>
    <row r="91" spans="1:256" ht="18" customHeight="1">
      <c r="B91" s="2179"/>
      <c r="C91" s="2755" t="s">
        <v>131</v>
      </c>
      <c r="D91" s="2209"/>
      <c r="E91" s="2209"/>
      <c r="F91" s="2209"/>
      <c r="G91" s="2733"/>
      <c r="H91" s="2183"/>
      <c r="I91" s="2183"/>
      <c r="J91" s="2183"/>
      <c r="K91" s="2183"/>
      <c r="L91" s="2249"/>
      <c r="M91" s="2757">
        <f>IF(メイン!$C$11=メイン!$I$10,M78,M79)</f>
        <v>29.86964678777413</v>
      </c>
      <c r="N91" s="2281"/>
      <c r="O91" s="2281"/>
      <c r="P91" s="2757">
        <f>IF(メイン!$C$11=メイン!$I$10,P55,P56)</f>
        <v>38.802961218453483</v>
      </c>
    </row>
    <row r="92" spans="1:256" ht="18" customHeight="1" thickBot="1">
      <c r="B92" s="2282"/>
      <c r="C92" s="2758" t="s">
        <v>63</v>
      </c>
      <c r="D92" s="2759"/>
      <c r="E92" s="2760"/>
      <c r="F92" s="2760"/>
      <c r="G92" s="2761"/>
      <c r="H92" s="2762"/>
      <c r="I92" s="2763"/>
      <c r="J92" s="2763"/>
      <c r="K92" s="2763"/>
      <c r="L92" s="2283"/>
      <c r="M92" s="2764">
        <f>SUM(M89:M91)</f>
        <v>37.40924678777413</v>
      </c>
      <c r="N92" s="2284"/>
      <c r="O92" s="2284"/>
      <c r="P92" s="2764">
        <f>IF(COUNTIF(P89:P91,$S$88)&gt;0,$S$88,SUM(P89:P91))</f>
        <v>51.152961218453484</v>
      </c>
    </row>
    <row r="93" spans="1:256" ht="11.25" customHeight="1">
      <c r="C93" s="2170"/>
      <c r="D93" s="2172"/>
      <c r="E93" s="2170"/>
      <c r="F93" s="2170"/>
      <c r="G93" s="2171"/>
      <c r="H93" s="2171"/>
      <c r="I93" s="2171"/>
      <c r="J93" s="2171"/>
      <c r="K93" s="2171"/>
      <c r="L93" s="2173"/>
    </row>
  </sheetData>
  <sheetProtection algorithmName="SHA-512" hashValue="Iur8m9qEcS76v44l/hvoRAXQGWSZPuNi1tXNwfwJzuqzWNSVk8h7IX49OwEjuNzU5ue4y8co06DdPnvkKrCzOg==" saltValue="CUQOBTIKGvkzmWBm8woUKg==" spinCount="100000" sheet="1" objects="1" scenarios="1"/>
  <mergeCells count="7">
    <mergeCell ref="L38:M38"/>
    <mergeCell ref="O38:P38"/>
    <mergeCell ref="L2:M2"/>
    <mergeCell ref="L3:M3"/>
    <mergeCell ref="L9:M9"/>
    <mergeCell ref="O9:P9"/>
    <mergeCell ref="L21:M21"/>
  </mergeCells>
  <phoneticPr fontId="4"/>
  <conditionalFormatting sqref="G11">
    <cfRule type="expression" dxfId="46" priority="15">
      <formula>$F$11=0</formula>
    </cfRule>
  </conditionalFormatting>
  <conditionalFormatting sqref="G12">
    <cfRule type="expression" dxfId="45" priority="14">
      <formula>$F$12=0</formula>
    </cfRule>
  </conditionalFormatting>
  <conditionalFormatting sqref="G13">
    <cfRule type="expression" dxfId="44" priority="9">
      <formula>$F$13=0</formula>
    </cfRule>
  </conditionalFormatting>
  <conditionalFormatting sqref="I21">
    <cfRule type="cellIs" dxfId="43" priority="16" stopIfTrue="1" operator="equal">
      <formula>5</formula>
    </cfRule>
    <cfRule type="cellIs" dxfId="42" priority="17" stopIfTrue="1" operator="equal">
      <formula>4</formula>
    </cfRule>
    <cfRule type="cellIs" dxfId="41" priority="18" stopIfTrue="1" operator="equal">
      <formula>2</formula>
    </cfRule>
  </conditionalFormatting>
  <conditionalFormatting sqref="I11:M11">
    <cfRule type="expression" dxfId="40" priority="13">
      <formula>$F$11=0</formula>
    </cfRule>
  </conditionalFormatting>
  <conditionalFormatting sqref="I12:M12">
    <cfRule type="expression" dxfId="39" priority="11">
      <formula>$F$12=0</formula>
    </cfRule>
  </conditionalFormatting>
  <conditionalFormatting sqref="I13:M13">
    <cfRule type="expression" dxfId="38" priority="8">
      <formula>$F$13=0</formula>
    </cfRule>
  </conditionalFormatting>
  <conditionalFormatting sqref="I40:M40">
    <cfRule type="expression" dxfId="37" priority="6">
      <formula>$G$40=0</formula>
    </cfRule>
  </conditionalFormatting>
  <conditionalFormatting sqref="I41:M41">
    <cfRule type="expression" dxfId="36" priority="5">
      <formula>$G$41=0</formula>
    </cfRule>
  </conditionalFormatting>
  <conditionalFormatting sqref="I42:M42">
    <cfRule type="expression" dxfId="35" priority="4">
      <formula>$G$42=0</formula>
    </cfRule>
  </conditionalFormatting>
  <conditionalFormatting sqref="O11:P11">
    <cfRule type="expression" dxfId="34" priority="12">
      <formula>$F$11=0</formula>
    </cfRule>
  </conditionalFormatting>
  <conditionalFormatting sqref="O12:P12">
    <cfRule type="expression" dxfId="33" priority="10">
      <formula>$F$12=0</formula>
    </cfRule>
  </conditionalFormatting>
  <conditionalFormatting sqref="O13:P13">
    <cfRule type="expression" dxfId="32" priority="7">
      <formula>$F$13=0</formula>
    </cfRule>
  </conditionalFormatting>
  <conditionalFormatting sqref="O40:P40">
    <cfRule type="expression" dxfId="31" priority="3">
      <formula>$G$40=0</formula>
    </cfRule>
  </conditionalFormatting>
  <conditionalFormatting sqref="O41:P41">
    <cfRule type="expression" dxfId="30" priority="2">
      <formula>$G$41=0</formula>
    </cfRule>
  </conditionalFormatting>
  <conditionalFormatting sqref="O42:P42">
    <cfRule type="expression" dxfId="29" priority="1">
      <formula>$G$42=0</formula>
    </cfRule>
  </conditionalFormatting>
  <conditionalFormatting sqref="Q5:IV6 I7 Q7:Q8 R7:IV17 I9 Q11:Q17 Q18:IV31 G20 Q32:Q33 S32:IV33 G32:G34 Q34:IV35 Q36:Q37 R36:IV53 I38 Q40:Q53 G52:G53 Q54:IV54 Q84:Q85 T84:IV65568 Q86:R65568 F89 S89:S65568 F91">
    <cfRule type="cellIs" dxfId="28" priority="19" stopIfTrue="1" operator="equal">
      <formula>5</formula>
    </cfRule>
    <cfRule type="cellIs" dxfId="27" priority="20" stopIfTrue="1" operator="equal">
      <formula>4</formula>
    </cfRule>
    <cfRule type="cellIs" dxfId="26" priority="21" stopIfTrue="1" operator="equal">
      <formula>2</formula>
    </cfRule>
  </conditionalFormatting>
  <printOptions horizontalCentered="1"/>
  <pageMargins left="1.1811023622047245" right="0.98425196850393704" top="0.78740157480314965" bottom="0.78740157480314965" header="0.51181102362204722" footer="0.51181102362204722"/>
  <pageSetup paperSize="9" scale="62" fitToHeight="0" orientation="portrait" horizontalDpi="300" verticalDpi="30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C7687-72C4-483D-875D-BB15358299AC}">
  <sheetPr>
    <pageSetUpPr fitToPage="1"/>
  </sheetPr>
  <dimension ref="A1:XFC349"/>
  <sheetViews>
    <sheetView showGridLines="0" zoomScaleNormal="100" zoomScaleSheetLayoutView="90" workbookViewId="0">
      <pane xSplit="8" topLeftCell="I1" activePane="topRight" state="frozen"/>
      <selection activeCell="F26" sqref="F26"/>
      <selection pane="topRight" activeCell="I10" sqref="I10"/>
    </sheetView>
  </sheetViews>
  <sheetFormatPr defaultColWidth="9" defaultRowHeight="13.5" customHeight="1" zeroHeight="1" outlineLevelRow="1" outlineLevelCol="1"/>
  <cols>
    <col min="1" max="2" width="1.44140625" style="2289" customWidth="1"/>
    <col min="3" max="3" width="2.77734375" style="2289" customWidth="1"/>
    <col min="4" max="4" width="8.44140625" style="2289" customWidth="1"/>
    <col min="5" max="5" width="13.77734375" style="2289" customWidth="1"/>
    <col min="6" max="6" width="14.21875" style="2289" customWidth="1"/>
    <col min="7" max="7" width="4.6640625" style="2289" hidden="1" customWidth="1" outlineLevel="1"/>
    <col min="8" max="8" width="9.33203125" style="2289" hidden="1" customWidth="1" outlineLevel="1"/>
    <col min="9" max="9" width="9.21875" style="2289" customWidth="1" collapsed="1"/>
    <col min="10" max="17" width="9.21875" style="2289" customWidth="1"/>
    <col min="18" max="18" width="4.77734375" style="2289" customWidth="1"/>
    <col min="19" max="19" width="9.44140625" style="2289" hidden="1"/>
    <col min="20" max="27" width="6.77734375" style="2289" hidden="1"/>
    <col min="28" max="30" width="5" style="2289" hidden="1"/>
    <col min="31" max="32" width="10.109375" style="2289" hidden="1"/>
    <col min="33" max="249" width="8.88671875" style="2289" hidden="1"/>
    <col min="250" max="16383" width="9" style="2289" hidden="1"/>
    <col min="16384" max="16384" width="2.77734375" style="2289" hidden="1"/>
  </cols>
  <sheetData>
    <row r="1" spans="2:17" ht="24">
      <c r="B1" s="2288" t="s">
        <v>718</v>
      </c>
    </row>
    <row r="2" spans="2:17" ht="18" customHeight="1">
      <c r="B2" s="2290"/>
    </row>
    <row r="3" spans="2:17" ht="15.6">
      <c r="C3" s="2291" t="s">
        <v>717</v>
      </c>
      <c r="D3" s="2291"/>
      <c r="I3" s="2292" t="s">
        <v>719</v>
      </c>
      <c r="J3" s="2293"/>
      <c r="K3" s="2293"/>
      <c r="L3" s="2294"/>
      <c r="M3" s="2294"/>
      <c r="N3" s="2294"/>
      <c r="O3" s="2294"/>
      <c r="P3" s="2294"/>
      <c r="Q3" s="2295"/>
    </row>
    <row r="4" spans="2:17" ht="15.6">
      <c r="C4" s="2296"/>
      <c r="D4" s="2296"/>
      <c r="E4" s="2296"/>
      <c r="F4" s="2170" t="s">
        <v>715</v>
      </c>
      <c r="H4" s="2296"/>
      <c r="I4" s="2297" t="s">
        <v>313</v>
      </c>
      <c r="J4" s="2294"/>
      <c r="K4" s="2298"/>
      <c r="L4" s="2297" t="s">
        <v>314</v>
      </c>
      <c r="M4" s="2294"/>
      <c r="N4" s="2298"/>
      <c r="O4" s="2297" t="s">
        <v>315</v>
      </c>
      <c r="P4" s="2294"/>
      <c r="Q4" s="2298"/>
    </row>
    <row r="5" spans="2:17" ht="15.6">
      <c r="C5" s="2765" t="s">
        <v>2167</v>
      </c>
      <c r="D5" s="2766"/>
      <c r="E5" s="2767" t="s">
        <v>2168</v>
      </c>
      <c r="F5" s="2768" t="s">
        <v>2169</v>
      </c>
      <c r="H5" s="2769"/>
      <c r="I5" s="2299" t="s">
        <v>40</v>
      </c>
      <c r="J5" s="2299" t="s">
        <v>293</v>
      </c>
      <c r="K5" s="2299" t="s">
        <v>41</v>
      </c>
      <c r="L5" s="2299" t="s">
        <v>40</v>
      </c>
      <c r="M5" s="2299" t="s">
        <v>293</v>
      </c>
      <c r="N5" s="2299" t="s">
        <v>41</v>
      </c>
      <c r="O5" s="2299" t="s">
        <v>40</v>
      </c>
      <c r="P5" s="2299" t="s">
        <v>293</v>
      </c>
      <c r="Q5" s="2299" t="s">
        <v>41</v>
      </c>
    </row>
    <row r="6" spans="2:17" ht="13.2">
      <c r="C6" s="2770" t="s">
        <v>39</v>
      </c>
      <c r="D6" s="2771"/>
      <c r="E6" s="2772" t="s">
        <v>39</v>
      </c>
      <c r="F6" s="2769" t="s">
        <v>40</v>
      </c>
      <c r="H6" s="2769">
        <v>113</v>
      </c>
      <c r="I6" s="2773">
        <v>9.52</v>
      </c>
      <c r="J6" s="2773">
        <v>4.76</v>
      </c>
      <c r="K6" s="2773">
        <v>3.17</v>
      </c>
      <c r="L6" s="2773">
        <v>16.12</v>
      </c>
      <c r="M6" s="2773">
        <v>8.06</v>
      </c>
      <c r="N6" s="2773">
        <v>5.37</v>
      </c>
      <c r="O6" s="2773">
        <v>17.78</v>
      </c>
      <c r="P6" s="2773">
        <v>8.89</v>
      </c>
      <c r="Q6" s="2773">
        <v>5.93</v>
      </c>
    </row>
    <row r="7" spans="2:17" ht="13.2">
      <c r="C7" s="2774"/>
      <c r="D7" s="2775"/>
      <c r="E7" s="2776"/>
      <c r="F7" s="2769" t="s">
        <v>293</v>
      </c>
      <c r="H7" s="2769">
        <v>114</v>
      </c>
      <c r="I7" s="2773">
        <v>9.52</v>
      </c>
      <c r="J7" s="2773">
        <v>4.76</v>
      </c>
      <c r="K7" s="2773">
        <v>3.17</v>
      </c>
      <c r="L7" s="2773">
        <v>16.12</v>
      </c>
      <c r="M7" s="2773">
        <v>8.06</v>
      </c>
      <c r="N7" s="2773">
        <v>5.37</v>
      </c>
      <c r="O7" s="2773">
        <v>17.78</v>
      </c>
      <c r="P7" s="2773">
        <v>8.89</v>
      </c>
      <c r="Q7" s="2773">
        <v>5.93</v>
      </c>
    </row>
    <row r="8" spans="2:17" ht="13.2">
      <c r="C8" s="2774"/>
      <c r="D8" s="2775"/>
      <c r="E8" s="2777"/>
      <c r="F8" s="2769" t="s">
        <v>41</v>
      </c>
      <c r="H8" s="2769">
        <v>115</v>
      </c>
      <c r="I8" s="2773">
        <v>9.52</v>
      </c>
      <c r="J8" s="2773">
        <v>4.76</v>
      </c>
      <c r="K8" s="2773">
        <v>3.17</v>
      </c>
      <c r="L8" s="2773">
        <v>16.12</v>
      </c>
      <c r="M8" s="2773">
        <v>8.06</v>
      </c>
      <c r="N8" s="2773">
        <v>5.37</v>
      </c>
      <c r="O8" s="2773">
        <v>17.78</v>
      </c>
      <c r="P8" s="2773">
        <v>8.89</v>
      </c>
      <c r="Q8" s="2773">
        <v>5.93</v>
      </c>
    </row>
    <row r="9" spans="2:17" ht="13.2">
      <c r="C9" s="2774"/>
      <c r="D9" s="2775"/>
      <c r="E9" s="2772" t="s">
        <v>292</v>
      </c>
      <c r="F9" s="2769" t="s">
        <v>40</v>
      </c>
      <c r="H9" s="2769">
        <v>123</v>
      </c>
      <c r="I9" s="2773">
        <v>9.52</v>
      </c>
      <c r="J9" s="2773">
        <v>4.76</v>
      </c>
      <c r="K9" s="2773">
        <v>3.17</v>
      </c>
      <c r="L9" s="2773">
        <v>16.12</v>
      </c>
      <c r="M9" s="2773">
        <v>8.06</v>
      </c>
      <c r="N9" s="2773">
        <v>5.37</v>
      </c>
      <c r="O9" s="2773">
        <v>17.78</v>
      </c>
      <c r="P9" s="2773">
        <v>8.89</v>
      </c>
      <c r="Q9" s="2773">
        <v>5.93</v>
      </c>
    </row>
    <row r="10" spans="2:17" ht="13.2">
      <c r="C10" s="2774"/>
      <c r="D10" s="2775"/>
      <c r="E10" s="2776"/>
      <c r="F10" s="2769" t="s">
        <v>293</v>
      </c>
      <c r="H10" s="2769">
        <v>124</v>
      </c>
      <c r="I10" s="2773">
        <v>9.52</v>
      </c>
      <c r="J10" s="2773">
        <v>4.76</v>
      </c>
      <c r="K10" s="2773">
        <v>3.17</v>
      </c>
      <c r="L10" s="2773">
        <v>16.12</v>
      </c>
      <c r="M10" s="2773">
        <v>8.06</v>
      </c>
      <c r="N10" s="2773">
        <v>5.37</v>
      </c>
      <c r="O10" s="2773">
        <v>17.78</v>
      </c>
      <c r="P10" s="2773">
        <v>8.89</v>
      </c>
      <c r="Q10" s="2773">
        <v>5.93</v>
      </c>
    </row>
    <row r="11" spans="2:17" ht="13.2">
      <c r="C11" s="2774"/>
      <c r="D11" s="2775"/>
      <c r="E11" s="2777"/>
      <c r="F11" s="2769" t="s">
        <v>41</v>
      </c>
      <c r="H11" s="2769">
        <v>125</v>
      </c>
      <c r="I11" s="2773">
        <v>9.52</v>
      </c>
      <c r="J11" s="2773">
        <v>4.76</v>
      </c>
      <c r="K11" s="2773">
        <v>3.17</v>
      </c>
      <c r="L11" s="2773">
        <v>16.12</v>
      </c>
      <c r="M11" s="2773">
        <v>8.06</v>
      </c>
      <c r="N11" s="2773">
        <v>5.37</v>
      </c>
      <c r="O11" s="2773">
        <v>17.78</v>
      </c>
      <c r="P11" s="2773">
        <v>8.89</v>
      </c>
      <c r="Q11" s="2773">
        <v>5.93</v>
      </c>
    </row>
    <row r="12" spans="2:17" ht="13.2">
      <c r="C12" s="2774"/>
      <c r="D12" s="2775"/>
      <c r="E12" s="2772" t="s">
        <v>40</v>
      </c>
      <c r="F12" s="2769" t="s">
        <v>40</v>
      </c>
      <c r="H12" s="2769">
        <v>133</v>
      </c>
      <c r="I12" s="2773">
        <v>9.52</v>
      </c>
      <c r="J12" s="2773">
        <v>4.76</v>
      </c>
      <c r="K12" s="2773">
        <v>3.17</v>
      </c>
      <c r="L12" s="2773">
        <v>16.12</v>
      </c>
      <c r="M12" s="2773">
        <v>8.06</v>
      </c>
      <c r="N12" s="2773">
        <v>5.37</v>
      </c>
      <c r="O12" s="2773">
        <v>17.78</v>
      </c>
      <c r="P12" s="2773">
        <v>8.89</v>
      </c>
      <c r="Q12" s="2773">
        <v>5.93</v>
      </c>
    </row>
    <row r="13" spans="2:17" ht="13.2">
      <c r="C13" s="2774"/>
      <c r="D13" s="2775"/>
      <c r="E13" s="2776"/>
      <c r="F13" s="2769" t="s">
        <v>293</v>
      </c>
      <c r="H13" s="2769">
        <v>134</v>
      </c>
      <c r="I13" s="2773">
        <v>9.52</v>
      </c>
      <c r="J13" s="2773">
        <v>4.76</v>
      </c>
      <c r="K13" s="2773">
        <v>3.17</v>
      </c>
      <c r="L13" s="2773">
        <v>16.12</v>
      </c>
      <c r="M13" s="2773">
        <v>8.06</v>
      </c>
      <c r="N13" s="2773">
        <v>5.37</v>
      </c>
      <c r="O13" s="2773">
        <v>17.78</v>
      </c>
      <c r="P13" s="2773">
        <v>8.89</v>
      </c>
      <c r="Q13" s="2773">
        <v>5.93</v>
      </c>
    </row>
    <row r="14" spans="2:17" ht="13.2">
      <c r="C14" s="2774"/>
      <c r="D14" s="2775"/>
      <c r="E14" s="2777"/>
      <c r="F14" s="2769" t="s">
        <v>41</v>
      </c>
      <c r="H14" s="2769">
        <v>135</v>
      </c>
      <c r="I14" s="2773">
        <v>9.52</v>
      </c>
      <c r="J14" s="2773">
        <v>4.76</v>
      </c>
      <c r="K14" s="2773">
        <v>3.17</v>
      </c>
      <c r="L14" s="2773">
        <v>16.12</v>
      </c>
      <c r="M14" s="2773">
        <v>8.06</v>
      </c>
      <c r="N14" s="2773">
        <v>5.37</v>
      </c>
      <c r="O14" s="2773">
        <v>17.78</v>
      </c>
      <c r="P14" s="2773">
        <v>8.89</v>
      </c>
      <c r="Q14" s="2773">
        <v>5.93</v>
      </c>
    </row>
    <row r="15" spans="2:17" ht="13.2">
      <c r="C15" s="2774"/>
      <c r="D15" s="2775"/>
      <c r="E15" s="2772" t="s">
        <v>293</v>
      </c>
      <c r="F15" s="2769" t="s">
        <v>40</v>
      </c>
      <c r="H15" s="2769">
        <v>143</v>
      </c>
      <c r="I15" s="2773">
        <v>9.52</v>
      </c>
      <c r="J15" s="2773">
        <v>4.76</v>
      </c>
      <c r="K15" s="2773">
        <v>3.17</v>
      </c>
      <c r="L15" s="2773">
        <v>16.12</v>
      </c>
      <c r="M15" s="2773">
        <v>8.06</v>
      </c>
      <c r="N15" s="2773">
        <v>5.37</v>
      </c>
      <c r="O15" s="2773">
        <v>17.78</v>
      </c>
      <c r="P15" s="2773">
        <v>8.89</v>
      </c>
      <c r="Q15" s="2773">
        <v>5.93</v>
      </c>
    </row>
    <row r="16" spans="2:17" ht="13.2">
      <c r="C16" s="2774"/>
      <c r="D16" s="2775"/>
      <c r="E16" s="2776"/>
      <c r="F16" s="2769" t="s">
        <v>293</v>
      </c>
      <c r="H16" s="2769">
        <v>144</v>
      </c>
      <c r="I16" s="2773">
        <v>9.52</v>
      </c>
      <c r="J16" s="2773">
        <v>4.76</v>
      </c>
      <c r="K16" s="2773">
        <v>3.17</v>
      </c>
      <c r="L16" s="2773">
        <v>16.12</v>
      </c>
      <c r="M16" s="2773">
        <v>8.06</v>
      </c>
      <c r="N16" s="2773">
        <v>5.37</v>
      </c>
      <c r="O16" s="2773">
        <v>17.78</v>
      </c>
      <c r="P16" s="2773">
        <v>8.89</v>
      </c>
      <c r="Q16" s="2773">
        <v>5.93</v>
      </c>
    </row>
    <row r="17" spans="3:17" ht="13.2">
      <c r="C17" s="2778"/>
      <c r="D17" s="2779"/>
      <c r="E17" s="2777"/>
      <c r="F17" s="2769" t="s">
        <v>41</v>
      </c>
      <c r="H17" s="2769">
        <v>145</v>
      </c>
      <c r="I17" s="2773">
        <v>9.52</v>
      </c>
      <c r="J17" s="2773">
        <v>4.76</v>
      </c>
      <c r="K17" s="2773">
        <v>3.17</v>
      </c>
      <c r="L17" s="2773">
        <v>16.12</v>
      </c>
      <c r="M17" s="2773">
        <v>8.06</v>
      </c>
      <c r="N17" s="2773">
        <v>5.37</v>
      </c>
      <c r="O17" s="2773">
        <v>17.78</v>
      </c>
      <c r="P17" s="2773">
        <v>8.89</v>
      </c>
      <c r="Q17" s="2773">
        <v>5.93</v>
      </c>
    </row>
    <row r="18" spans="3:17" ht="13.2">
      <c r="C18" s="2770" t="s">
        <v>292</v>
      </c>
      <c r="D18" s="2771"/>
      <c r="E18" s="2772" t="s">
        <v>39</v>
      </c>
      <c r="F18" s="2769" t="s">
        <v>40</v>
      </c>
      <c r="H18" s="2769">
        <v>213</v>
      </c>
      <c r="I18" s="2773">
        <v>9.52</v>
      </c>
      <c r="J18" s="2773">
        <v>4.76</v>
      </c>
      <c r="K18" s="2773">
        <v>3.17</v>
      </c>
      <c r="L18" s="2773">
        <v>16.12</v>
      </c>
      <c r="M18" s="2773">
        <v>8.06</v>
      </c>
      <c r="N18" s="2773">
        <v>5.37</v>
      </c>
      <c r="O18" s="2773">
        <v>17.78</v>
      </c>
      <c r="P18" s="2773">
        <v>8.89</v>
      </c>
      <c r="Q18" s="2773">
        <v>5.93</v>
      </c>
    </row>
    <row r="19" spans="3:17" ht="13.2">
      <c r="C19" s="2774"/>
      <c r="D19" s="2775"/>
      <c r="E19" s="2776"/>
      <c r="F19" s="2769" t="s">
        <v>293</v>
      </c>
      <c r="H19" s="2769">
        <v>214</v>
      </c>
      <c r="I19" s="2773">
        <v>9.52</v>
      </c>
      <c r="J19" s="2773">
        <v>4.76</v>
      </c>
      <c r="K19" s="2773">
        <v>3.17</v>
      </c>
      <c r="L19" s="2773">
        <v>16.12</v>
      </c>
      <c r="M19" s="2773">
        <v>8.06</v>
      </c>
      <c r="N19" s="2773">
        <v>5.37</v>
      </c>
      <c r="O19" s="2773">
        <v>17.78</v>
      </c>
      <c r="P19" s="2773">
        <v>8.89</v>
      </c>
      <c r="Q19" s="2773">
        <v>5.93</v>
      </c>
    </row>
    <row r="20" spans="3:17" ht="13.2">
      <c r="C20" s="2774"/>
      <c r="D20" s="2775"/>
      <c r="E20" s="2777"/>
      <c r="F20" s="2769" t="s">
        <v>41</v>
      </c>
      <c r="H20" s="2769">
        <v>215</v>
      </c>
      <c r="I20" s="2773">
        <v>9.52</v>
      </c>
      <c r="J20" s="2773">
        <v>4.76</v>
      </c>
      <c r="K20" s="2773">
        <v>3.17</v>
      </c>
      <c r="L20" s="2773">
        <v>16.12</v>
      </c>
      <c r="M20" s="2773">
        <v>8.06</v>
      </c>
      <c r="N20" s="2773">
        <v>5.37</v>
      </c>
      <c r="O20" s="2773">
        <v>17.78</v>
      </c>
      <c r="P20" s="2773">
        <v>8.89</v>
      </c>
      <c r="Q20" s="2773">
        <v>5.93</v>
      </c>
    </row>
    <row r="21" spans="3:17" ht="13.2">
      <c r="C21" s="2774"/>
      <c r="D21" s="2775"/>
      <c r="E21" s="2772" t="s">
        <v>292</v>
      </c>
      <c r="F21" s="2769" t="s">
        <v>40</v>
      </c>
      <c r="H21" s="2769">
        <v>223</v>
      </c>
      <c r="I21" s="2773">
        <v>9.52</v>
      </c>
      <c r="J21" s="2773">
        <v>4.76</v>
      </c>
      <c r="K21" s="2773">
        <v>3.17</v>
      </c>
      <c r="L21" s="2773">
        <v>16.12</v>
      </c>
      <c r="M21" s="2773">
        <v>8.06</v>
      </c>
      <c r="N21" s="2773">
        <v>5.37</v>
      </c>
      <c r="O21" s="2773">
        <v>17.78</v>
      </c>
      <c r="P21" s="2773">
        <v>8.89</v>
      </c>
      <c r="Q21" s="2773">
        <v>5.93</v>
      </c>
    </row>
    <row r="22" spans="3:17" ht="13.2">
      <c r="C22" s="2774"/>
      <c r="D22" s="2775"/>
      <c r="E22" s="2776"/>
      <c r="F22" s="2769" t="s">
        <v>293</v>
      </c>
      <c r="H22" s="2769">
        <v>224</v>
      </c>
      <c r="I22" s="2773">
        <v>9.52</v>
      </c>
      <c r="J22" s="2773">
        <v>4.76</v>
      </c>
      <c r="K22" s="2773">
        <v>3.17</v>
      </c>
      <c r="L22" s="2773">
        <v>16.12</v>
      </c>
      <c r="M22" s="2773">
        <v>8.06</v>
      </c>
      <c r="N22" s="2773">
        <v>5.37</v>
      </c>
      <c r="O22" s="2773">
        <v>17.78</v>
      </c>
      <c r="P22" s="2773">
        <v>8.89</v>
      </c>
      <c r="Q22" s="2773">
        <v>5.93</v>
      </c>
    </row>
    <row r="23" spans="3:17" ht="13.2">
      <c r="C23" s="2774"/>
      <c r="D23" s="2775"/>
      <c r="E23" s="2777"/>
      <c r="F23" s="2769" t="s">
        <v>41</v>
      </c>
      <c r="H23" s="2769">
        <v>225</v>
      </c>
      <c r="I23" s="2773">
        <v>9.52</v>
      </c>
      <c r="J23" s="2773">
        <v>4.76</v>
      </c>
      <c r="K23" s="2773">
        <v>3.17</v>
      </c>
      <c r="L23" s="2773">
        <v>16.12</v>
      </c>
      <c r="M23" s="2773">
        <v>8.06</v>
      </c>
      <c r="N23" s="2773">
        <v>5.37</v>
      </c>
      <c r="O23" s="2773">
        <v>17.78</v>
      </c>
      <c r="P23" s="2773">
        <v>8.89</v>
      </c>
      <c r="Q23" s="2773">
        <v>5.93</v>
      </c>
    </row>
    <row r="24" spans="3:17" ht="13.2">
      <c r="C24" s="2774"/>
      <c r="D24" s="2775"/>
      <c r="E24" s="2772" t="s">
        <v>40</v>
      </c>
      <c r="F24" s="2769" t="s">
        <v>40</v>
      </c>
      <c r="H24" s="2769">
        <v>233</v>
      </c>
      <c r="I24" s="2773">
        <v>9.52</v>
      </c>
      <c r="J24" s="2773">
        <v>4.76</v>
      </c>
      <c r="K24" s="2773">
        <v>3.17</v>
      </c>
      <c r="L24" s="2773">
        <v>16.12</v>
      </c>
      <c r="M24" s="2773">
        <v>8.06</v>
      </c>
      <c r="N24" s="2773">
        <v>5.37</v>
      </c>
      <c r="O24" s="2773">
        <v>17.78</v>
      </c>
      <c r="P24" s="2773">
        <v>8.89</v>
      </c>
      <c r="Q24" s="2773">
        <v>5.93</v>
      </c>
    </row>
    <row r="25" spans="3:17" ht="13.2">
      <c r="C25" s="2774"/>
      <c r="D25" s="2775"/>
      <c r="E25" s="2776"/>
      <c r="F25" s="2769" t="s">
        <v>293</v>
      </c>
      <c r="H25" s="2769">
        <v>234</v>
      </c>
      <c r="I25" s="2773">
        <v>9.52</v>
      </c>
      <c r="J25" s="2773">
        <v>4.76</v>
      </c>
      <c r="K25" s="2773">
        <v>3.17</v>
      </c>
      <c r="L25" s="2773">
        <v>16.12</v>
      </c>
      <c r="M25" s="2773">
        <v>8.06</v>
      </c>
      <c r="N25" s="2773">
        <v>5.37</v>
      </c>
      <c r="O25" s="2773">
        <v>17.78</v>
      </c>
      <c r="P25" s="2773">
        <v>8.89</v>
      </c>
      <c r="Q25" s="2773">
        <v>5.93</v>
      </c>
    </row>
    <row r="26" spans="3:17" ht="13.2">
      <c r="C26" s="2774"/>
      <c r="D26" s="2775"/>
      <c r="E26" s="2777"/>
      <c r="F26" s="2769" t="s">
        <v>41</v>
      </c>
      <c r="H26" s="2769">
        <v>235</v>
      </c>
      <c r="I26" s="2773">
        <v>9.52</v>
      </c>
      <c r="J26" s="2773">
        <v>4.76</v>
      </c>
      <c r="K26" s="2773">
        <v>3.17</v>
      </c>
      <c r="L26" s="2773">
        <v>16.12</v>
      </c>
      <c r="M26" s="2773">
        <v>8.06</v>
      </c>
      <c r="N26" s="2773">
        <v>5.37</v>
      </c>
      <c r="O26" s="2773">
        <v>17.78</v>
      </c>
      <c r="P26" s="2773">
        <v>8.89</v>
      </c>
      <c r="Q26" s="2773">
        <v>5.93</v>
      </c>
    </row>
    <row r="27" spans="3:17" ht="13.2">
      <c r="C27" s="2774"/>
      <c r="D27" s="2775"/>
      <c r="E27" s="2772" t="s">
        <v>293</v>
      </c>
      <c r="F27" s="2769" t="s">
        <v>40</v>
      </c>
      <c r="H27" s="2769">
        <v>243</v>
      </c>
      <c r="I27" s="2773">
        <v>9.52</v>
      </c>
      <c r="J27" s="2773">
        <v>4.76</v>
      </c>
      <c r="K27" s="2773">
        <v>3.17</v>
      </c>
      <c r="L27" s="2773">
        <v>16.12</v>
      </c>
      <c r="M27" s="2773">
        <v>8.06</v>
      </c>
      <c r="N27" s="2773">
        <v>5.37</v>
      </c>
      <c r="O27" s="2773">
        <v>17.78</v>
      </c>
      <c r="P27" s="2773">
        <v>8.89</v>
      </c>
      <c r="Q27" s="2773">
        <v>5.93</v>
      </c>
    </row>
    <row r="28" spans="3:17" ht="13.2">
      <c r="C28" s="2774"/>
      <c r="D28" s="2775"/>
      <c r="E28" s="2776"/>
      <c r="F28" s="2769" t="s">
        <v>293</v>
      </c>
      <c r="H28" s="2769">
        <v>244</v>
      </c>
      <c r="I28" s="2773">
        <v>9.52</v>
      </c>
      <c r="J28" s="2773">
        <v>4.76</v>
      </c>
      <c r="K28" s="2773">
        <v>3.17</v>
      </c>
      <c r="L28" s="2773">
        <v>16.12</v>
      </c>
      <c r="M28" s="2773">
        <v>8.06</v>
      </c>
      <c r="N28" s="2773">
        <v>5.37</v>
      </c>
      <c r="O28" s="2773">
        <v>17.78</v>
      </c>
      <c r="P28" s="2773">
        <v>8.89</v>
      </c>
      <c r="Q28" s="2773">
        <v>5.93</v>
      </c>
    </row>
    <row r="29" spans="3:17" ht="13.2">
      <c r="C29" s="2778"/>
      <c r="D29" s="2779"/>
      <c r="E29" s="2777"/>
      <c r="F29" s="2769" t="s">
        <v>41</v>
      </c>
      <c r="H29" s="2769">
        <v>245</v>
      </c>
      <c r="I29" s="2773">
        <v>9.52</v>
      </c>
      <c r="J29" s="2773">
        <v>4.76</v>
      </c>
      <c r="K29" s="2773">
        <v>3.17</v>
      </c>
      <c r="L29" s="2773">
        <v>16.12</v>
      </c>
      <c r="M29" s="2773">
        <v>8.06</v>
      </c>
      <c r="N29" s="2773">
        <v>5.37</v>
      </c>
      <c r="O29" s="2773">
        <v>17.78</v>
      </c>
      <c r="P29" s="2773">
        <v>8.89</v>
      </c>
      <c r="Q29" s="2773">
        <v>5.93</v>
      </c>
    </row>
    <row r="30" spans="3:17" ht="13.2">
      <c r="C30" s="2770" t="s">
        <v>40</v>
      </c>
      <c r="D30" s="2771"/>
      <c r="E30" s="2772" t="s">
        <v>39</v>
      </c>
      <c r="F30" s="2769" t="s">
        <v>40</v>
      </c>
      <c r="H30" s="2769">
        <v>313</v>
      </c>
      <c r="I30" s="2773">
        <v>9.52</v>
      </c>
      <c r="J30" s="2773">
        <v>4.76</v>
      </c>
      <c r="K30" s="2773">
        <v>3.17</v>
      </c>
      <c r="L30" s="2773">
        <v>16.12</v>
      </c>
      <c r="M30" s="2773">
        <v>8.06</v>
      </c>
      <c r="N30" s="2773">
        <v>5.37</v>
      </c>
      <c r="O30" s="2773">
        <v>17.78</v>
      </c>
      <c r="P30" s="2773">
        <v>8.89</v>
      </c>
      <c r="Q30" s="2773">
        <v>5.93</v>
      </c>
    </row>
    <row r="31" spans="3:17" ht="13.2">
      <c r="C31" s="2774"/>
      <c r="D31" s="2775"/>
      <c r="E31" s="2776"/>
      <c r="F31" s="2769" t="s">
        <v>293</v>
      </c>
      <c r="H31" s="2769">
        <v>314</v>
      </c>
      <c r="I31" s="2773">
        <v>9.52</v>
      </c>
      <c r="J31" s="2773">
        <v>4.76</v>
      </c>
      <c r="K31" s="2773">
        <v>3.17</v>
      </c>
      <c r="L31" s="2773">
        <v>16.12</v>
      </c>
      <c r="M31" s="2773">
        <v>8.06</v>
      </c>
      <c r="N31" s="2773">
        <v>5.37</v>
      </c>
      <c r="O31" s="2773">
        <v>17.78</v>
      </c>
      <c r="P31" s="2773">
        <v>8.89</v>
      </c>
      <c r="Q31" s="2773">
        <v>5.93</v>
      </c>
    </row>
    <row r="32" spans="3:17" ht="13.2">
      <c r="C32" s="2774"/>
      <c r="D32" s="2775"/>
      <c r="E32" s="2777"/>
      <c r="F32" s="2769" t="s">
        <v>41</v>
      </c>
      <c r="H32" s="2769">
        <v>315</v>
      </c>
      <c r="I32" s="2773">
        <v>9.52</v>
      </c>
      <c r="J32" s="2773">
        <v>4.76</v>
      </c>
      <c r="K32" s="2773">
        <v>3.17</v>
      </c>
      <c r="L32" s="2773">
        <v>16.12</v>
      </c>
      <c r="M32" s="2773">
        <v>8.06</v>
      </c>
      <c r="N32" s="2773">
        <v>5.37</v>
      </c>
      <c r="O32" s="2773">
        <v>17.78</v>
      </c>
      <c r="P32" s="2773">
        <v>8.89</v>
      </c>
      <c r="Q32" s="2773">
        <v>5.93</v>
      </c>
    </row>
    <row r="33" spans="3:17" ht="13.2">
      <c r="C33" s="2774"/>
      <c r="D33" s="2775"/>
      <c r="E33" s="2772" t="s">
        <v>292</v>
      </c>
      <c r="F33" s="2769" t="s">
        <v>40</v>
      </c>
      <c r="H33" s="2769">
        <v>323</v>
      </c>
      <c r="I33" s="2773">
        <v>9.52</v>
      </c>
      <c r="J33" s="2773">
        <v>4.76</v>
      </c>
      <c r="K33" s="2773">
        <v>3.17</v>
      </c>
      <c r="L33" s="2773">
        <v>16.12</v>
      </c>
      <c r="M33" s="2773">
        <v>8.06</v>
      </c>
      <c r="N33" s="2773">
        <v>5.37</v>
      </c>
      <c r="O33" s="2773">
        <v>17.78</v>
      </c>
      <c r="P33" s="2773">
        <v>8.89</v>
      </c>
      <c r="Q33" s="2773">
        <v>5.93</v>
      </c>
    </row>
    <row r="34" spans="3:17" ht="13.2">
      <c r="C34" s="2774"/>
      <c r="D34" s="2775"/>
      <c r="E34" s="2776"/>
      <c r="F34" s="2769" t="s">
        <v>293</v>
      </c>
      <c r="H34" s="2769">
        <v>324</v>
      </c>
      <c r="I34" s="2773">
        <v>9.52</v>
      </c>
      <c r="J34" s="2773">
        <v>4.76</v>
      </c>
      <c r="K34" s="2773">
        <v>3.17</v>
      </c>
      <c r="L34" s="2773">
        <v>16.12</v>
      </c>
      <c r="M34" s="2773">
        <v>8.06</v>
      </c>
      <c r="N34" s="2773">
        <v>5.37</v>
      </c>
      <c r="O34" s="2773">
        <v>17.78</v>
      </c>
      <c r="P34" s="2773">
        <v>8.89</v>
      </c>
      <c r="Q34" s="2773">
        <v>5.93</v>
      </c>
    </row>
    <row r="35" spans="3:17" ht="13.2">
      <c r="C35" s="2774"/>
      <c r="D35" s="2775"/>
      <c r="E35" s="2777"/>
      <c r="F35" s="2769" t="s">
        <v>41</v>
      </c>
      <c r="H35" s="2769">
        <v>325</v>
      </c>
      <c r="I35" s="2773">
        <v>9.52</v>
      </c>
      <c r="J35" s="2773">
        <v>4.76</v>
      </c>
      <c r="K35" s="2773">
        <v>3.17</v>
      </c>
      <c r="L35" s="2773">
        <v>16.12</v>
      </c>
      <c r="M35" s="2773">
        <v>8.06</v>
      </c>
      <c r="N35" s="2773">
        <v>5.37</v>
      </c>
      <c r="O35" s="2773">
        <v>17.78</v>
      </c>
      <c r="P35" s="2773">
        <v>8.89</v>
      </c>
      <c r="Q35" s="2773">
        <v>5.93</v>
      </c>
    </row>
    <row r="36" spans="3:17" ht="13.2">
      <c r="C36" s="2774"/>
      <c r="D36" s="2775"/>
      <c r="E36" s="2772" t="s">
        <v>40</v>
      </c>
      <c r="F36" s="2769" t="s">
        <v>40</v>
      </c>
      <c r="H36" s="2769">
        <v>333</v>
      </c>
      <c r="I36" s="2780">
        <v>9.52</v>
      </c>
      <c r="J36" s="2773">
        <v>4.76</v>
      </c>
      <c r="K36" s="2773">
        <v>3.17</v>
      </c>
      <c r="L36" s="2780">
        <v>16.12</v>
      </c>
      <c r="M36" s="2773">
        <v>8.06</v>
      </c>
      <c r="N36" s="2773">
        <v>5.37</v>
      </c>
      <c r="O36" s="2780">
        <v>17.78</v>
      </c>
      <c r="P36" s="2773">
        <v>8.89</v>
      </c>
      <c r="Q36" s="2773">
        <v>5.93</v>
      </c>
    </row>
    <row r="37" spans="3:17" ht="13.2">
      <c r="C37" s="2774"/>
      <c r="D37" s="2775"/>
      <c r="E37" s="2776"/>
      <c r="F37" s="2769" t="s">
        <v>293</v>
      </c>
      <c r="H37" s="2769">
        <v>334</v>
      </c>
      <c r="I37" s="2773">
        <v>9.52</v>
      </c>
      <c r="J37" s="2773">
        <v>4.76</v>
      </c>
      <c r="K37" s="2773">
        <v>3.17</v>
      </c>
      <c r="L37" s="2773">
        <v>16.12</v>
      </c>
      <c r="M37" s="2773">
        <v>8.06</v>
      </c>
      <c r="N37" s="2773">
        <v>5.37</v>
      </c>
      <c r="O37" s="2773">
        <v>17.78</v>
      </c>
      <c r="P37" s="2773">
        <v>8.89</v>
      </c>
      <c r="Q37" s="2773">
        <v>5.93</v>
      </c>
    </row>
    <row r="38" spans="3:17" ht="13.2">
      <c r="C38" s="2774"/>
      <c r="D38" s="2775"/>
      <c r="E38" s="2777"/>
      <c r="F38" s="2769" t="s">
        <v>41</v>
      </c>
      <c r="H38" s="2769">
        <v>335</v>
      </c>
      <c r="I38" s="2773">
        <v>9.52</v>
      </c>
      <c r="J38" s="2773">
        <v>4.76</v>
      </c>
      <c r="K38" s="2773">
        <v>3.17</v>
      </c>
      <c r="L38" s="2773">
        <v>16.12</v>
      </c>
      <c r="M38" s="2773">
        <v>8.06</v>
      </c>
      <c r="N38" s="2773">
        <v>5.37</v>
      </c>
      <c r="O38" s="2773">
        <v>17.78</v>
      </c>
      <c r="P38" s="2773">
        <v>8.89</v>
      </c>
      <c r="Q38" s="2773">
        <v>5.93</v>
      </c>
    </row>
    <row r="39" spans="3:17" ht="13.2">
      <c r="C39" s="2774"/>
      <c r="D39" s="2775"/>
      <c r="E39" s="2772" t="s">
        <v>293</v>
      </c>
      <c r="F39" s="2769" t="s">
        <v>40</v>
      </c>
      <c r="H39" s="2769">
        <v>343</v>
      </c>
      <c r="I39" s="2773">
        <v>9.52</v>
      </c>
      <c r="J39" s="2773">
        <v>4.76</v>
      </c>
      <c r="K39" s="2773">
        <v>3.17</v>
      </c>
      <c r="L39" s="2773">
        <v>16.12</v>
      </c>
      <c r="M39" s="2773">
        <v>8.06</v>
      </c>
      <c r="N39" s="2773">
        <v>5.37</v>
      </c>
      <c r="O39" s="2773">
        <v>17.78</v>
      </c>
      <c r="P39" s="2773">
        <v>8.89</v>
      </c>
      <c r="Q39" s="2773">
        <v>5.93</v>
      </c>
    </row>
    <row r="40" spans="3:17" ht="13.2">
      <c r="C40" s="2774"/>
      <c r="D40" s="2775"/>
      <c r="E40" s="2776"/>
      <c r="F40" s="2769" t="s">
        <v>293</v>
      </c>
      <c r="H40" s="2769">
        <v>344</v>
      </c>
      <c r="I40" s="2773">
        <v>9.52</v>
      </c>
      <c r="J40" s="2773">
        <v>4.76</v>
      </c>
      <c r="K40" s="2773">
        <v>3.17</v>
      </c>
      <c r="L40" s="2773">
        <v>16.12</v>
      </c>
      <c r="M40" s="2773">
        <v>8.06</v>
      </c>
      <c r="N40" s="2773">
        <v>5.37</v>
      </c>
      <c r="O40" s="2773">
        <v>17.78</v>
      </c>
      <c r="P40" s="2773">
        <v>8.89</v>
      </c>
      <c r="Q40" s="2773">
        <v>5.93</v>
      </c>
    </row>
    <row r="41" spans="3:17" ht="13.2">
      <c r="C41" s="2778"/>
      <c r="D41" s="2779"/>
      <c r="E41" s="2777"/>
      <c r="F41" s="2769" t="s">
        <v>41</v>
      </c>
      <c r="H41" s="2769">
        <v>345</v>
      </c>
      <c r="I41" s="2773">
        <v>9.52</v>
      </c>
      <c r="J41" s="2773">
        <v>4.76</v>
      </c>
      <c r="K41" s="2773">
        <v>3.17</v>
      </c>
      <c r="L41" s="2773">
        <v>16.12</v>
      </c>
      <c r="M41" s="2773">
        <v>8.06</v>
      </c>
      <c r="N41" s="2773">
        <v>5.37</v>
      </c>
      <c r="O41" s="2773">
        <v>17.78</v>
      </c>
      <c r="P41" s="2773">
        <v>8.89</v>
      </c>
      <c r="Q41" s="2773">
        <v>5.93</v>
      </c>
    </row>
    <row r="42" spans="3:17" ht="13.2">
      <c r="C42" s="2770" t="s">
        <v>293</v>
      </c>
      <c r="D42" s="2771"/>
      <c r="E42" s="2772" t="s">
        <v>39</v>
      </c>
      <c r="F42" s="2769" t="s">
        <v>40</v>
      </c>
      <c r="H42" s="2769">
        <v>413</v>
      </c>
      <c r="I42" s="2773">
        <v>9.52</v>
      </c>
      <c r="J42" s="2773">
        <v>4.76</v>
      </c>
      <c r="K42" s="2773">
        <v>3.17</v>
      </c>
      <c r="L42" s="2773">
        <v>16.12</v>
      </c>
      <c r="M42" s="2773">
        <v>8.06</v>
      </c>
      <c r="N42" s="2773">
        <v>5.37</v>
      </c>
      <c r="O42" s="2773">
        <v>17.78</v>
      </c>
      <c r="P42" s="2773">
        <v>8.89</v>
      </c>
      <c r="Q42" s="2773">
        <v>5.93</v>
      </c>
    </row>
    <row r="43" spans="3:17" ht="13.2">
      <c r="C43" s="2774"/>
      <c r="D43" s="2775"/>
      <c r="E43" s="2776"/>
      <c r="F43" s="2769" t="s">
        <v>293</v>
      </c>
      <c r="H43" s="2769">
        <v>414</v>
      </c>
      <c r="I43" s="2773">
        <v>9.52</v>
      </c>
      <c r="J43" s="2773">
        <v>4.76</v>
      </c>
      <c r="K43" s="2773">
        <v>3.17</v>
      </c>
      <c r="L43" s="2773">
        <v>16.12</v>
      </c>
      <c r="M43" s="2773">
        <v>8.06</v>
      </c>
      <c r="N43" s="2773">
        <v>5.37</v>
      </c>
      <c r="O43" s="2773">
        <v>17.78</v>
      </c>
      <c r="P43" s="2773">
        <v>8.89</v>
      </c>
      <c r="Q43" s="2773">
        <v>5.93</v>
      </c>
    </row>
    <row r="44" spans="3:17" ht="13.2">
      <c r="C44" s="2774"/>
      <c r="D44" s="2775"/>
      <c r="E44" s="2777"/>
      <c r="F44" s="2769" t="s">
        <v>41</v>
      </c>
      <c r="H44" s="2769">
        <v>415</v>
      </c>
      <c r="I44" s="2773">
        <v>9.52</v>
      </c>
      <c r="J44" s="2773">
        <v>4.76</v>
      </c>
      <c r="K44" s="2773">
        <v>3.17</v>
      </c>
      <c r="L44" s="2773">
        <v>16.12</v>
      </c>
      <c r="M44" s="2773">
        <v>8.06</v>
      </c>
      <c r="N44" s="2773">
        <v>5.37</v>
      </c>
      <c r="O44" s="2773">
        <v>17.78</v>
      </c>
      <c r="P44" s="2773">
        <v>8.89</v>
      </c>
      <c r="Q44" s="2773">
        <v>5.93</v>
      </c>
    </row>
    <row r="45" spans="3:17" ht="13.2">
      <c r="C45" s="2774"/>
      <c r="D45" s="2775"/>
      <c r="E45" s="2772" t="s">
        <v>292</v>
      </c>
      <c r="F45" s="2769" t="s">
        <v>40</v>
      </c>
      <c r="H45" s="2769">
        <v>423</v>
      </c>
      <c r="I45" s="2773">
        <v>9.52</v>
      </c>
      <c r="J45" s="2773">
        <v>4.76</v>
      </c>
      <c r="K45" s="2773">
        <v>3.17</v>
      </c>
      <c r="L45" s="2773">
        <v>16.12</v>
      </c>
      <c r="M45" s="2773">
        <v>8.06</v>
      </c>
      <c r="N45" s="2773">
        <v>5.37</v>
      </c>
      <c r="O45" s="2773">
        <v>17.78</v>
      </c>
      <c r="P45" s="2773">
        <v>8.89</v>
      </c>
      <c r="Q45" s="2773">
        <v>5.93</v>
      </c>
    </row>
    <row r="46" spans="3:17" ht="13.2">
      <c r="C46" s="2774"/>
      <c r="D46" s="2775"/>
      <c r="E46" s="2776"/>
      <c r="F46" s="2769" t="s">
        <v>293</v>
      </c>
      <c r="H46" s="2769">
        <v>424</v>
      </c>
      <c r="I46" s="2773">
        <v>9.52</v>
      </c>
      <c r="J46" s="2773">
        <v>4.76</v>
      </c>
      <c r="K46" s="2773">
        <v>3.17</v>
      </c>
      <c r="L46" s="2773">
        <v>16.12</v>
      </c>
      <c r="M46" s="2773">
        <v>8.06</v>
      </c>
      <c r="N46" s="2773">
        <v>5.37</v>
      </c>
      <c r="O46" s="2773">
        <v>17.78</v>
      </c>
      <c r="P46" s="2773">
        <v>8.89</v>
      </c>
      <c r="Q46" s="2773">
        <v>5.93</v>
      </c>
    </row>
    <row r="47" spans="3:17" ht="13.2">
      <c r="C47" s="2774"/>
      <c r="D47" s="2775"/>
      <c r="E47" s="2777"/>
      <c r="F47" s="2769" t="s">
        <v>41</v>
      </c>
      <c r="H47" s="2769">
        <v>425</v>
      </c>
      <c r="I47" s="2773">
        <v>9.52</v>
      </c>
      <c r="J47" s="2773">
        <v>4.76</v>
      </c>
      <c r="K47" s="2773">
        <v>3.17</v>
      </c>
      <c r="L47" s="2773">
        <v>16.12</v>
      </c>
      <c r="M47" s="2773">
        <v>8.06</v>
      </c>
      <c r="N47" s="2773">
        <v>5.37</v>
      </c>
      <c r="O47" s="2773">
        <v>17.78</v>
      </c>
      <c r="P47" s="2773">
        <v>8.89</v>
      </c>
      <c r="Q47" s="2773">
        <v>5.93</v>
      </c>
    </row>
    <row r="48" spans="3:17" ht="13.2">
      <c r="C48" s="2774"/>
      <c r="D48" s="2775"/>
      <c r="E48" s="2772" t="s">
        <v>40</v>
      </c>
      <c r="F48" s="2769" t="s">
        <v>40</v>
      </c>
      <c r="H48" s="2769">
        <v>433</v>
      </c>
      <c r="I48" s="2773">
        <v>9.52</v>
      </c>
      <c r="J48" s="2773">
        <v>4.76</v>
      </c>
      <c r="K48" s="2773">
        <v>3.17</v>
      </c>
      <c r="L48" s="2773">
        <v>16.12</v>
      </c>
      <c r="M48" s="2773">
        <v>8.06</v>
      </c>
      <c r="N48" s="2773">
        <v>5.37</v>
      </c>
      <c r="O48" s="2773">
        <v>17.78</v>
      </c>
      <c r="P48" s="2773">
        <v>8.89</v>
      </c>
      <c r="Q48" s="2773">
        <v>5.93</v>
      </c>
    </row>
    <row r="49" spans="3:38" ht="13.2">
      <c r="C49" s="2774"/>
      <c r="D49" s="2775"/>
      <c r="E49" s="2776"/>
      <c r="F49" s="2769" t="s">
        <v>293</v>
      </c>
      <c r="H49" s="2769">
        <v>434</v>
      </c>
      <c r="I49" s="2773">
        <v>9.52</v>
      </c>
      <c r="J49" s="2773">
        <v>4.76</v>
      </c>
      <c r="K49" s="2773">
        <v>3.17</v>
      </c>
      <c r="L49" s="2773">
        <v>16.12</v>
      </c>
      <c r="M49" s="2773">
        <v>8.06</v>
      </c>
      <c r="N49" s="2773">
        <v>5.37</v>
      </c>
      <c r="O49" s="2773">
        <v>17.78</v>
      </c>
      <c r="P49" s="2773">
        <v>8.89</v>
      </c>
      <c r="Q49" s="2773">
        <v>5.93</v>
      </c>
    </row>
    <row r="50" spans="3:38" ht="13.2">
      <c r="C50" s="2774"/>
      <c r="D50" s="2775"/>
      <c r="E50" s="2777"/>
      <c r="F50" s="2769" t="s">
        <v>41</v>
      </c>
      <c r="H50" s="2769">
        <v>435</v>
      </c>
      <c r="I50" s="2773">
        <v>9.52</v>
      </c>
      <c r="J50" s="2773">
        <v>4.76</v>
      </c>
      <c r="K50" s="2773">
        <v>3.17</v>
      </c>
      <c r="L50" s="2773">
        <v>16.12</v>
      </c>
      <c r="M50" s="2773">
        <v>8.06</v>
      </c>
      <c r="N50" s="2773">
        <v>5.37</v>
      </c>
      <c r="O50" s="2773">
        <v>17.78</v>
      </c>
      <c r="P50" s="2773">
        <v>8.89</v>
      </c>
      <c r="Q50" s="2773">
        <v>5.93</v>
      </c>
    </row>
    <row r="51" spans="3:38" ht="13.2">
      <c r="C51" s="2774"/>
      <c r="D51" s="2775"/>
      <c r="E51" s="2772" t="s">
        <v>293</v>
      </c>
      <c r="F51" s="2769" t="s">
        <v>40</v>
      </c>
      <c r="H51" s="2769">
        <v>443</v>
      </c>
      <c r="I51" s="2773">
        <v>9.52</v>
      </c>
      <c r="J51" s="2773">
        <v>4.76</v>
      </c>
      <c r="K51" s="2773">
        <v>3.17</v>
      </c>
      <c r="L51" s="2773">
        <v>16.12</v>
      </c>
      <c r="M51" s="2773">
        <v>8.06</v>
      </c>
      <c r="N51" s="2773">
        <v>5.37</v>
      </c>
      <c r="O51" s="2773">
        <v>17.78</v>
      </c>
      <c r="P51" s="2773">
        <v>8.89</v>
      </c>
      <c r="Q51" s="2773">
        <v>5.93</v>
      </c>
    </row>
    <row r="52" spans="3:38" ht="13.2">
      <c r="C52" s="2774"/>
      <c r="D52" s="2775"/>
      <c r="E52" s="2776"/>
      <c r="F52" s="2769" t="s">
        <v>293</v>
      </c>
      <c r="H52" s="2769">
        <v>444</v>
      </c>
      <c r="I52" s="2773">
        <v>9.52</v>
      </c>
      <c r="J52" s="2773">
        <v>4.76</v>
      </c>
      <c r="K52" s="2773">
        <v>3.17</v>
      </c>
      <c r="L52" s="2773">
        <v>16.12</v>
      </c>
      <c r="M52" s="2773">
        <v>8.06</v>
      </c>
      <c r="N52" s="2773">
        <v>5.37</v>
      </c>
      <c r="O52" s="2773">
        <v>17.78</v>
      </c>
      <c r="P52" s="2773">
        <v>8.89</v>
      </c>
      <c r="Q52" s="2773">
        <v>5.93</v>
      </c>
    </row>
    <row r="53" spans="3:38" ht="13.2">
      <c r="C53" s="2778"/>
      <c r="D53" s="2779"/>
      <c r="E53" s="2777"/>
      <c r="F53" s="2769" t="s">
        <v>41</v>
      </c>
      <c r="H53" s="2769">
        <v>445</v>
      </c>
      <c r="I53" s="2773">
        <v>9.52</v>
      </c>
      <c r="J53" s="2773">
        <v>4.76</v>
      </c>
      <c r="K53" s="2773">
        <v>3.17</v>
      </c>
      <c r="L53" s="2773">
        <v>16.12</v>
      </c>
      <c r="M53" s="2773">
        <v>8.06</v>
      </c>
      <c r="N53" s="2773">
        <v>5.37</v>
      </c>
      <c r="O53" s="2773">
        <v>17.78</v>
      </c>
      <c r="P53" s="2773">
        <v>8.89</v>
      </c>
      <c r="Q53" s="2773">
        <v>5.93</v>
      </c>
    </row>
    <row r="54" spans="3:38" ht="13.5" customHeight="1"/>
    <row r="55" spans="3:38" ht="15.6">
      <c r="C55" s="2291" t="s">
        <v>720</v>
      </c>
      <c r="D55" s="2291"/>
      <c r="I55" s="2292" t="s">
        <v>2164</v>
      </c>
      <c r="J55" s="2781"/>
      <c r="K55" s="2781"/>
      <c r="L55" s="2782"/>
      <c r="M55" s="2782"/>
      <c r="N55" s="2782"/>
      <c r="O55" s="2782"/>
      <c r="P55" s="2782"/>
      <c r="Q55" s="2783"/>
    </row>
    <row r="56" spans="3:38" s="2296" customFormat="1" ht="15.6">
      <c r="F56" s="2170" t="s">
        <v>715</v>
      </c>
      <c r="I56" s="2784" t="s">
        <v>313</v>
      </c>
      <c r="J56" s="2782"/>
      <c r="K56" s="2785"/>
      <c r="L56" s="2784" t="s">
        <v>314</v>
      </c>
      <c r="M56" s="2782"/>
      <c r="N56" s="2785"/>
      <c r="O56" s="2784" t="s">
        <v>315</v>
      </c>
      <c r="P56" s="2782"/>
      <c r="Q56" s="2785"/>
    </row>
    <row r="57" spans="3:38" ht="15.6">
      <c r="C57" s="2765" t="s">
        <v>2167</v>
      </c>
      <c r="D57" s="2766"/>
      <c r="E57" s="2767" t="s">
        <v>2168</v>
      </c>
      <c r="F57" s="2768" t="s">
        <v>2169</v>
      </c>
      <c r="H57" s="2769"/>
      <c r="I57" s="2786" t="s">
        <v>40</v>
      </c>
      <c r="J57" s="2786" t="s">
        <v>293</v>
      </c>
      <c r="K57" s="2786" t="s">
        <v>41</v>
      </c>
      <c r="L57" s="2786" t="s">
        <v>40</v>
      </c>
      <c r="M57" s="2786" t="s">
        <v>293</v>
      </c>
      <c r="N57" s="2786" t="s">
        <v>41</v>
      </c>
      <c r="O57" s="2786" t="s">
        <v>40</v>
      </c>
      <c r="P57" s="2786" t="s">
        <v>293</v>
      </c>
      <c r="Q57" s="2786" t="s">
        <v>41</v>
      </c>
      <c r="T57" s="2409"/>
      <c r="U57" s="2409"/>
      <c r="V57" s="2409"/>
      <c r="W57" s="2409"/>
      <c r="X57" s="2409"/>
      <c r="Y57" s="2409"/>
      <c r="Z57" s="2409"/>
      <c r="AA57" s="2409"/>
      <c r="AB57" s="2409"/>
      <c r="AD57" s="2409"/>
      <c r="AE57" s="2409"/>
      <c r="AF57" s="2409"/>
      <c r="AG57" s="2409"/>
      <c r="AH57" s="2409"/>
      <c r="AI57" s="2409"/>
      <c r="AJ57" s="2409"/>
      <c r="AK57" s="2409"/>
      <c r="AL57" s="2409"/>
    </row>
    <row r="58" spans="3:38" ht="13.2">
      <c r="C58" s="2770" t="s">
        <v>39</v>
      </c>
      <c r="D58" s="2771"/>
      <c r="E58" s="2772" t="s">
        <v>39</v>
      </c>
      <c r="F58" s="2769" t="s">
        <v>40</v>
      </c>
      <c r="H58" s="2769">
        <v>113</v>
      </c>
      <c r="I58" s="2787">
        <f>I110+I162</f>
        <v>4.88</v>
      </c>
      <c r="J58" s="2787">
        <f t="shared" ref="J58:Q58" si="0">J110+J162</f>
        <v>6.27</v>
      </c>
      <c r="K58" s="2787">
        <f t="shared" si="0"/>
        <v>7.13</v>
      </c>
      <c r="L58" s="2787">
        <f t="shared" si="0"/>
        <v>5.13</v>
      </c>
      <c r="M58" s="2787">
        <f t="shared" si="0"/>
        <v>6.98</v>
      </c>
      <c r="N58" s="2787">
        <f t="shared" si="0"/>
        <v>8</v>
      </c>
      <c r="O58" s="2787">
        <f t="shared" si="0"/>
        <v>3.92</v>
      </c>
      <c r="P58" s="2787">
        <f t="shared" si="0"/>
        <v>5.2799999999999994</v>
      </c>
      <c r="Q58" s="2787">
        <f t="shared" si="0"/>
        <v>5.92</v>
      </c>
    </row>
    <row r="59" spans="3:38" ht="13.2">
      <c r="C59" s="2774"/>
      <c r="D59" s="2775"/>
      <c r="E59" s="2776"/>
      <c r="F59" s="2769" t="s">
        <v>293</v>
      </c>
      <c r="H59" s="2769">
        <v>114</v>
      </c>
      <c r="I59" s="2787">
        <f t="shared" ref="I59:Q59" si="1">I111+I163</f>
        <v>4.88</v>
      </c>
      <c r="J59" s="2787">
        <f t="shared" si="1"/>
        <v>6.27</v>
      </c>
      <c r="K59" s="2787">
        <f t="shared" si="1"/>
        <v>7.13</v>
      </c>
      <c r="L59" s="2787">
        <f t="shared" si="1"/>
        <v>5.13</v>
      </c>
      <c r="M59" s="2787">
        <f t="shared" si="1"/>
        <v>6.98</v>
      </c>
      <c r="N59" s="2787">
        <f t="shared" si="1"/>
        <v>8</v>
      </c>
      <c r="O59" s="2787">
        <f t="shared" si="1"/>
        <v>3.92</v>
      </c>
      <c r="P59" s="2787">
        <f t="shared" si="1"/>
        <v>5.2799999999999994</v>
      </c>
      <c r="Q59" s="2787">
        <f t="shared" si="1"/>
        <v>5.92</v>
      </c>
    </row>
    <row r="60" spans="3:38" ht="13.2">
      <c r="C60" s="2774"/>
      <c r="D60" s="2775"/>
      <c r="E60" s="2777"/>
      <c r="F60" s="2769" t="s">
        <v>41</v>
      </c>
      <c r="H60" s="2769">
        <v>115</v>
      </c>
      <c r="I60" s="2787">
        <f t="shared" ref="I60:Q60" si="2">I112+I164</f>
        <v>4.88</v>
      </c>
      <c r="J60" s="2787">
        <f t="shared" si="2"/>
        <v>6.27</v>
      </c>
      <c r="K60" s="2787">
        <f t="shared" si="2"/>
        <v>7.13</v>
      </c>
      <c r="L60" s="2787">
        <f t="shared" si="2"/>
        <v>5.13</v>
      </c>
      <c r="M60" s="2787">
        <f t="shared" si="2"/>
        <v>6.98</v>
      </c>
      <c r="N60" s="2787">
        <f t="shared" si="2"/>
        <v>8</v>
      </c>
      <c r="O60" s="2787">
        <f t="shared" si="2"/>
        <v>3.92</v>
      </c>
      <c r="P60" s="2787">
        <f t="shared" si="2"/>
        <v>5.2799999999999994</v>
      </c>
      <c r="Q60" s="2787">
        <f t="shared" si="2"/>
        <v>5.92</v>
      </c>
    </row>
    <row r="61" spans="3:38" ht="13.2">
      <c r="C61" s="2774"/>
      <c r="D61" s="2775"/>
      <c r="E61" s="2772" t="s">
        <v>292</v>
      </c>
      <c r="F61" s="2769" t="s">
        <v>40</v>
      </c>
      <c r="H61" s="2769">
        <v>123</v>
      </c>
      <c r="I61" s="2787">
        <f t="shared" ref="I61:Q61" si="3">I113+I165</f>
        <v>4.88</v>
      </c>
      <c r="J61" s="2787">
        <f t="shared" si="3"/>
        <v>6.27</v>
      </c>
      <c r="K61" s="2787">
        <f t="shared" si="3"/>
        <v>7.13</v>
      </c>
      <c r="L61" s="2787">
        <f t="shared" si="3"/>
        <v>5.13</v>
      </c>
      <c r="M61" s="2787">
        <f t="shared" si="3"/>
        <v>6.98</v>
      </c>
      <c r="N61" s="2787">
        <f t="shared" si="3"/>
        <v>8</v>
      </c>
      <c r="O61" s="2787">
        <f t="shared" si="3"/>
        <v>3.92</v>
      </c>
      <c r="P61" s="2787">
        <f t="shared" si="3"/>
        <v>5.2799999999999994</v>
      </c>
      <c r="Q61" s="2787">
        <f t="shared" si="3"/>
        <v>5.92</v>
      </c>
    </row>
    <row r="62" spans="3:38" ht="13.2">
      <c r="C62" s="2774"/>
      <c r="D62" s="2775"/>
      <c r="E62" s="2776"/>
      <c r="F62" s="2769" t="s">
        <v>293</v>
      </c>
      <c r="H62" s="2769">
        <v>124</v>
      </c>
      <c r="I62" s="2787">
        <f t="shared" ref="I62:Q62" si="4">I114+I166</f>
        <v>4.41</v>
      </c>
      <c r="J62" s="2787">
        <f t="shared" si="4"/>
        <v>5.8</v>
      </c>
      <c r="K62" s="2787">
        <f t="shared" si="4"/>
        <v>6.66</v>
      </c>
      <c r="L62" s="2787">
        <f t="shared" si="4"/>
        <v>4.6399999999999997</v>
      </c>
      <c r="M62" s="2787">
        <f t="shared" si="4"/>
        <v>6.51</v>
      </c>
      <c r="N62" s="2787">
        <f t="shared" si="4"/>
        <v>7.53</v>
      </c>
      <c r="O62" s="2787">
        <f t="shared" si="4"/>
        <v>3.52</v>
      </c>
      <c r="P62" s="2787">
        <f t="shared" si="4"/>
        <v>4.8900000000000006</v>
      </c>
      <c r="Q62" s="2787">
        <f t="shared" si="4"/>
        <v>5.53</v>
      </c>
    </row>
    <row r="63" spans="3:38" ht="13.2">
      <c r="C63" s="2774"/>
      <c r="D63" s="2775"/>
      <c r="E63" s="2777"/>
      <c r="F63" s="2769" t="s">
        <v>41</v>
      </c>
      <c r="H63" s="2769">
        <v>125</v>
      </c>
      <c r="I63" s="2787">
        <f t="shared" ref="I63:Q63" si="5">I115+I167</f>
        <v>3.92</v>
      </c>
      <c r="J63" s="2787">
        <f t="shared" si="5"/>
        <v>5.8</v>
      </c>
      <c r="K63" s="2787">
        <f t="shared" si="5"/>
        <v>6.5</v>
      </c>
      <c r="L63" s="2787">
        <f t="shared" si="5"/>
        <v>4.17</v>
      </c>
      <c r="M63" s="2787">
        <f t="shared" si="5"/>
        <v>6.51</v>
      </c>
      <c r="N63" s="2787">
        <f t="shared" si="5"/>
        <v>7.37</v>
      </c>
      <c r="O63" s="2787">
        <f t="shared" si="5"/>
        <v>3.12</v>
      </c>
      <c r="P63" s="2787">
        <f t="shared" si="5"/>
        <v>4.8900000000000006</v>
      </c>
      <c r="Q63" s="2787">
        <f t="shared" si="5"/>
        <v>5.4</v>
      </c>
    </row>
    <row r="64" spans="3:38" ht="13.2">
      <c r="C64" s="2774"/>
      <c r="D64" s="2775"/>
      <c r="E64" s="2772" t="s">
        <v>40</v>
      </c>
      <c r="F64" s="2769" t="s">
        <v>40</v>
      </c>
      <c r="H64" s="2769">
        <v>133</v>
      </c>
      <c r="I64" s="2787">
        <f t="shared" ref="I64:Q64" si="6">I116+I168</f>
        <v>3.92</v>
      </c>
      <c r="J64" s="2787">
        <f t="shared" si="6"/>
        <v>5.5600000000000005</v>
      </c>
      <c r="K64" s="2787">
        <f t="shared" si="6"/>
        <v>6.5</v>
      </c>
      <c r="L64" s="2787">
        <f t="shared" si="6"/>
        <v>4.17</v>
      </c>
      <c r="M64" s="2787">
        <f t="shared" si="6"/>
        <v>6.2700000000000005</v>
      </c>
      <c r="N64" s="2787">
        <f t="shared" si="6"/>
        <v>7.37</v>
      </c>
      <c r="O64" s="2787">
        <f t="shared" si="6"/>
        <v>3.12</v>
      </c>
      <c r="P64" s="2787">
        <f t="shared" si="6"/>
        <v>4.6899999999999995</v>
      </c>
      <c r="Q64" s="2787">
        <f t="shared" si="6"/>
        <v>5.4</v>
      </c>
    </row>
    <row r="65" spans="3:17" ht="13.2">
      <c r="C65" s="2774"/>
      <c r="D65" s="2775"/>
      <c r="E65" s="2776"/>
      <c r="F65" s="2769" t="s">
        <v>293</v>
      </c>
      <c r="H65" s="2769">
        <v>134</v>
      </c>
      <c r="I65" s="2787">
        <f t="shared" ref="I65:Q65" si="7">I117+I169</f>
        <v>3.92</v>
      </c>
      <c r="J65" s="2787">
        <f t="shared" si="7"/>
        <v>5.5600000000000005</v>
      </c>
      <c r="K65" s="2787">
        <f t="shared" si="7"/>
        <v>6.1899999999999995</v>
      </c>
      <c r="L65" s="2787">
        <f t="shared" si="7"/>
        <v>4.17</v>
      </c>
      <c r="M65" s="2787">
        <f t="shared" si="7"/>
        <v>6.2700000000000005</v>
      </c>
      <c r="N65" s="2787">
        <f t="shared" si="7"/>
        <v>7.05</v>
      </c>
      <c r="O65" s="2787">
        <f t="shared" si="7"/>
        <v>3.12</v>
      </c>
      <c r="P65" s="2787">
        <f t="shared" si="7"/>
        <v>4.6899999999999995</v>
      </c>
      <c r="Q65" s="2787">
        <f t="shared" si="7"/>
        <v>5.1199999999999992</v>
      </c>
    </row>
    <row r="66" spans="3:17" ht="13.2">
      <c r="C66" s="2774"/>
      <c r="D66" s="2775"/>
      <c r="E66" s="2777"/>
      <c r="F66" s="2769" t="s">
        <v>41</v>
      </c>
      <c r="H66" s="2769">
        <v>135</v>
      </c>
      <c r="I66" s="2787">
        <f t="shared" ref="I66:Q66" si="8">I118+I170</f>
        <v>3.92</v>
      </c>
      <c r="J66" s="2787">
        <f t="shared" si="8"/>
        <v>5.33</v>
      </c>
      <c r="K66" s="2787">
        <f t="shared" si="8"/>
        <v>6.1899999999999995</v>
      </c>
      <c r="L66" s="2787">
        <f t="shared" si="8"/>
        <v>4.17</v>
      </c>
      <c r="M66" s="2787">
        <f t="shared" si="8"/>
        <v>6.0399999999999991</v>
      </c>
      <c r="N66" s="2787">
        <f t="shared" si="8"/>
        <v>7.05</v>
      </c>
      <c r="O66" s="2787">
        <f t="shared" si="8"/>
        <v>3.12</v>
      </c>
      <c r="P66" s="2787">
        <f t="shared" si="8"/>
        <v>4.49</v>
      </c>
      <c r="Q66" s="2787">
        <f t="shared" si="8"/>
        <v>5.1199999999999992</v>
      </c>
    </row>
    <row r="67" spans="3:17" ht="13.2">
      <c r="C67" s="2774"/>
      <c r="D67" s="2775"/>
      <c r="E67" s="2772" t="s">
        <v>293</v>
      </c>
      <c r="F67" s="2769" t="s">
        <v>40</v>
      </c>
      <c r="H67" s="2769">
        <v>143</v>
      </c>
      <c r="I67" s="2787">
        <f t="shared" ref="I67:Q67" si="9">I119+I171</f>
        <v>3.92</v>
      </c>
      <c r="J67" s="2787">
        <f t="shared" si="9"/>
        <v>5.33</v>
      </c>
      <c r="K67" s="2787">
        <f t="shared" si="9"/>
        <v>6.1899999999999995</v>
      </c>
      <c r="L67" s="2787">
        <f t="shared" si="9"/>
        <v>4.17</v>
      </c>
      <c r="M67" s="2787">
        <f t="shared" si="9"/>
        <v>6.0399999999999991</v>
      </c>
      <c r="N67" s="2787">
        <f t="shared" si="9"/>
        <v>7.05</v>
      </c>
      <c r="O67" s="2787">
        <f t="shared" si="9"/>
        <v>3.12</v>
      </c>
      <c r="P67" s="2787">
        <f t="shared" si="9"/>
        <v>4.49</v>
      </c>
      <c r="Q67" s="2787">
        <f t="shared" si="9"/>
        <v>5.1199999999999992</v>
      </c>
    </row>
    <row r="68" spans="3:17" ht="13.2">
      <c r="C68" s="2774"/>
      <c r="D68" s="2775"/>
      <c r="E68" s="2776"/>
      <c r="F68" s="2769" t="s">
        <v>293</v>
      </c>
      <c r="H68" s="2769">
        <v>144</v>
      </c>
      <c r="I68" s="2787">
        <f t="shared" ref="I68:Q68" si="10">I120+I172</f>
        <v>3.92</v>
      </c>
      <c r="J68" s="2787">
        <f t="shared" si="10"/>
        <v>5.33</v>
      </c>
      <c r="K68" s="2787">
        <f t="shared" si="10"/>
        <v>6.03</v>
      </c>
      <c r="L68" s="2787">
        <f t="shared" si="10"/>
        <v>4.17</v>
      </c>
      <c r="M68" s="2787">
        <f t="shared" si="10"/>
        <v>6.0399999999999991</v>
      </c>
      <c r="N68" s="2787">
        <f t="shared" si="10"/>
        <v>6.8999999999999995</v>
      </c>
      <c r="O68" s="2787">
        <f t="shared" si="10"/>
        <v>3.12</v>
      </c>
      <c r="P68" s="2787">
        <f t="shared" si="10"/>
        <v>4.49</v>
      </c>
      <c r="Q68" s="2787">
        <f t="shared" si="10"/>
        <v>4.99</v>
      </c>
    </row>
    <row r="69" spans="3:17" ht="13.2">
      <c r="C69" s="2778"/>
      <c r="D69" s="2779"/>
      <c r="E69" s="2777"/>
      <c r="F69" s="2769" t="s">
        <v>41</v>
      </c>
      <c r="H69" s="2769">
        <v>145</v>
      </c>
      <c r="I69" s="2787">
        <f t="shared" ref="I69:Q69" si="11">I121+I173</f>
        <v>3.92</v>
      </c>
      <c r="J69" s="2787">
        <f t="shared" si="11"/>
        <v>5.33</v>
      </c>
      <c r="K69" s="2787">
        <f t="shared" si="11"/>
        <v>6.03</v>
      </c>
      <c r="L69" s="2787">
        <f t="shared" si="11"/>
        <v>4.17</v>
      </c>
      <c r="M69" s="2787">
        <f t="shared" si="11"/>
        <v>6.0399999999999991</v>
      </c>
      <c r="N69" s="2787">
        <f t="shared" si="11"/>
        <v>6.8999999999999995</v>
      </c>
      <c r="O69" s="2787">
        <f t="shared" si="11"/>
        <v>3.12</v>
      </c>
      <c r="P69" s="2787">
        <f t="shared" si="11"/>
        <v>4.49</v>
      </c>
      <c r="Q69" s="2787">
        <f t="shared" si="11"/>
        <v>4.99</v>
      </c>
    </row>
    <row r="70" spans="3:17" ht="13.2">
      <c r="C70" s="2770" t="s">
        <v>292</v>
      </c>
      <c r="D70" s="2771"/>
      <c r="E70" s="2772" t="s">
        <v>39</v>
      </c>
      <c r="F70" s="2769" t="s">
        <v>40</v>
      </c>
      <c r="H70" s="2769">
        <v>213</v>
      </c>
      <c r="I70" s="2787">
        <f t="shared" ref="I70:Q70" si="12">I122+I174</f>
        <v>4.88</v>
      </c>
      <c r="J70" s="2787">
        <f t="shared" si="12"/>
        <v>6.27</v>
      </c>
      <c r="K70" s="2787">
        <f t="shared" si="12"/>
        <v>7.13</v>
      </c>
      <c r="L70" s="2787">
        <f t="shared" si="12"/>
        <v>5.13</v>
      </c>
      <c r="M70" s="2787">
        <f t="shared" si="12"/>
        <v>6.98</v>
      </c>
      <c r="N70" s="2787">
        <f t="shared" si="12"/>
        <v>8</v>
      </c>
      <c r="O70" s="2787">
        <f t="shared" si="12"/>
        <v>3.92</v>
      </c>
      <c r="P70" s="2787">
        <f t="shared" si="12"/>
        <v>5.2799999999999994</v>
      </c>
      <c r="Q70" s="2787">
        <f t="shared" si="12"/>
        <v>5.92</v>
      </c>
    </row>
    <row r="71" spans="3:17" ht="13.2">
      <c r="C71" s="2774"/>
      <c r="D71" s="2775"/>
      <c r="E71" s="2776"/>
      <c r="F71" s="2769" t="s">
        <v>293</v>
      </c>
      <c r="H71" s="2769">
        <v>214</v>
      </c>
      <c r="I71" s="2787">
        <f t="shared" ref="I71:Q71" si="13">I123+I175</f>
        <v>4.33</v>
      </c>
      <c r="J71" s="2787">
        <f t="shared" si="13"/>
        <v>5.7299999999999995</v>
      </c>
      <c r="K71" s="2787">
        <f t="shared" si="13"/>
        <v>6.59</v>
      </c>
      <c r="L71" s="2787">
        <f t="shared" si="13"/>
        <v>4.54</v>
      </c>
      <c r="M71" s="2787">
        <f t="shared" si="13"/>
        <v>6.41</v>
      </c>
      <c r="N71" s="2787">
        <f t="shared" si="13"/>
        <v>7.42</v>
      </c>
      <c r="O71" s="2787">
        <f t="shared" si="13"/>
        <v>3.92</v>
      </c>
      <c r="P71" s="2787">
        <f t="shared" si="13"/>
        <v>5.2799999999999994</v>
      </c>
      <c r="Q71" s="2787">
        <f t="shared" si="13"/>
        <v>5.92</v>
      </c>
    </row>
    <row r="72" spans="3:17" ht="13.2">
      <c r="C72" s="2774"/>
      <c r="D72" s="2775"/>
      <c r="E72" s="2777"/>
      <c r="F72" s="2769" t="s">
        <v>41</v>
      </c>
      <c r="H72" s="2769">
        <v>215</v>
      </c>
      <c r="I72" s="2787">
        <f t="shared" ref="I72:Q72" si="14">I124+I176</f>
        <v>3.79</v>
      </c>
      <c r="J72" s="2787">
        <f t="shared" si="14"/>
        <v>5.7299999999999995</v>
      </c>
      <c r="K72" s="2787">
        <f t="shared" si="14"/>
        <v>6.4</v>
      </c>
      <c r="L72" s="2787">
        <f t="shared" si="14"/>
        <v>3.96</v>
      </c>
      <c r="M72" s="2787">
        <f t="shared" si="14"/>
        <v>6.41</v>
      </c>
      <c r="N72" s="2787">
        <f t="shared" si="14"/>
        <v>7.23</v>
      </c>
      <c r="O72" s="2787">
        <f t="shared" si="14"/>
        <v>3.92</v>
      </c>
      <c r="P72" s="2787">
        <f t="shared" si="14"/>
        <v>5.2799999999999994</v>
      </c>
      <c r="Q72" s="2787">
        <f t="shared" si="14"/>
        <v>5.92</v>
      </c>
    </row>
    <row r="73" spans="3:17" ht="13.2">
      <c r="C73" s="2774"/>
      <c r="D73" s="2775"/>
      <c r="E73" s="2772" t="s">
        <v>292</v>
      </c>
      <c r="F73" s="2769" t="s">
        <v>40</v>
      </c>
      <c r="H73" s="2769">
        <v>223</v>
      </c>
      <c r="I73" s="2787">
        <f t="shared" ref="I73:Q73" si="15">I125+I177</f>
        <v>4.88</v>
      </c>
      <c r="J73" s="2787">
        <f t="shared" si="15"/>
        <v>6.27</v>
      </c>
      <c r="K73" s="2787">
        <f t="shared" si="15"/>
        <v>7.13</v>
      </c>
      <c r="L73" s="2787">
        <f t="shared" si="15"/>
        <v>5.13</v>
      </c>
      <c r="M73" s="2787">
        <f t="shared" si="15"/>
        <v>6.98</v>
      </c>
      <c r="N73" s="2787">
        <f t="shared" si="15"/>
        <v>8</v>
      </c>
      <c r="O73" s="2787">
        <f t="shared" si="15"/>
        <v>3.92</v>
      </c>
      <c r="P73" s="2787">
        <f t="shared" si="15"/>
        <v>5.2799999999999994</v>
      </c>
      <c r="Q73" s="2787">
        <f t="shared" si="15"/>
        <v>5.92</v>
      </c>
    </row>
    <row r="74" spans="3:17" ht="13.2">
      <c r="C74" s="2774"/>
      <c r="D74" s="2775"/>
      <c r="E74" s="2776"/>
      <c r="F74" s="2769" t="s">
        <v>293</v>
      </c>
      <c r="H74" s="2769">
        <v>224</v>
      </c>
      <c r="I74" s="2787">
        <f t="shared" ref="I74:Q74" si="16">I126+I178</f>
        <v>3.8499999999999996</v>
      </c>
      <c r="J74" s="2787">
        <f t="shared" si="16"/>
        <v>5.25</v>
      </c>
      <c r="K74" s="2787">
        <f t="shared" si="16"/>
        <v>6.1099999999999994</v>
      </c>
      <c r="L74" s="2787">
        <f t="shared" si="16"/>
        <v>4.07</v>
      </c>
      <c r="M74" s="2787">
        <f t="shared" si="16"/>
        <v>5.93</v>
      </c>
      <c r="N74" s="2787">
        <f t="shared" si="16"/>
        <v>6.9499999999999993</v>
      </c>
      <c r="O74" s="2787">
        <f t="shared" si="16"/>
        <v>3.52</v>
      </c>
      <c r="P74" s="2787">
        <f t="shared" si="16"/>
        <v>4.8900000000000006</v>
      </c>
      <c r="Q74" s="2787">
        <f t="shared" si="16"/>
        <v>5.53</v>
      </c>
    </row>
    <row r="75" spans="3:17" ht="13.2">
      <c r="C75" s="2774"/>
      <c r="D75" s="2775"/>
      <c r="E75" s="2777"/>
      <c r="F75" s="2769" t="s">
        <v>41</v>
      </c>
      <c r="H75" s="2769">
        <v>225</v>
      </c>
      <c r="I75" s="2787">
        <f t="shared" ref="I75:Q75" si="17">I127+I179</f>
        <v>2.83</v>
      </c>
      <c r="J75" s="2787">
        <f t="shared" si="17"/>
        <v>5.25</v>
      </c>
      <c r="K75" s="2787">
        <f t="shared" si="17"/>
        <v>5.7700000000000005</v>
      </c>
      <c r="L75" s="2787">
        <f t="shared" si="17"/>
        <v>3.02</v>
      </c>
      <c r="M75" s="2787">
        <f t="shared" si="17"/>
        <v>5.93</v>
      </c>
      <c r="N75" s="2787">
        <f t="shared" si="17"/>
        <v>6.6</v>
      </c>
      <c r="O75" s="2787">
        <f t="shared" si="17"/>
        <v>3.12</v>
      </c>
      <c r="P75" s="2787">
        <f t="shared" si="17"/>
        <v>4.8900000000000006</v>
      </c>
      <c r="Q75" s="2787">
        <f t="shared" si="17"/>
        <v>5.4</v>
      </c>
    </row>
    <row r="76" spans="3:17" ht="13.2">
      <c r="C76" s="2774"/>
      <c r="D76" s="2775"/>
      <c r="E76" s="2772" t="s">
        <v>40</v>
      </c>
      <c r="F76" s="2769" t="s">
        <v>40</v>
      </c>
      <c r="H76" s="2769">
        <v>233</v>
      </c>
      <c r="I76" s="2787">
        <f t="shared" ref="I76:Q76" si="18">I128+I180</f>
        <v>3.92</v>
      </c>
      <c r="J76" s="2787">
        <f t="shared" si="18"/>
        <v>5.5600000000000005</v>
      </c>
      <c r="K76" s="2787">
        <f t="shared" si="18"/>
        <v>6.5</v>
      </c>
      <c r="L76" s="2787">
        <f t="shared" si="18"/>
        <v>4.17</v>
      </c>
      <c r="M76" s="2787">
        <f t="shared" si="18"/>
        <v>6.2700000000000005</v>
      </c>
      <c r="N76" s="2787">
        <f t="shared" si="18"/>
        <v>7.37</v>
      </c>
      <c r="O76" s="2787">
        <f t="shared" si="18"/>
        <v>3.12</v>
      </c>
      <c r="P76" s="2787">
        <f t="shared" si="18"/>
        <v>4.6899999999999995</v>
      </c>
      <c r="Q76" s="2787">
        <f t="shared" si="18"/>
        <v>5.4</v>
      </c>
    </row>
    <row r="77" spans="3:17" ht="13.2">
      <c r="C77" s="2774"/>
      <c r="D77" s="2775"/>
      <c r="E77" s="2776"/>
      <c r="F77" s="2769" t="s">
        <v>293</v>
      </c>
      <c r="H77" s="2769">
        <v>234</v>
      </c>
      <c r="I77" s="2787">
        <f t="shared" ref="I77:Q77" si="19">I129+I181</f>
        <v>3.38</v>
      </c>
      <c r="J77" s="2787">
        <f t="shared" si="19"/>
        <v>5.01</v>
      </c>
      <c r="K77" s="2787">
        <f t="shared" si="19"/>
        <v>5.63</v>
      </c>
      <c r="L77" s="2787">
        <f t="shared" si="19"/>
        <v>3.6</v>
      </c>
      <c r="M77" s="2787">
        <f t="shared" si="19"/>
        <v>5.6899999999999995</v>
      </c>
      <c r="N77" s="2787">
        <f t="shared" si="19"/>
        <v>6.47</v>
      </c>
      <c r="O77" s="2787">
        <f t="shared" si="19"/>
        <v>3.12</v>
      </c>
      <c r="P77" s="2787">
        <f t="shared" si="19"/>
        <v>4.6899999999999995</v>
      </c>
      <c r="Q77" s="2787">
        <f t="shared" si="19"/>
        <v>5.1199999999999992</v>
      </c>
    </row>
    <row r="78" spans="3:17" ht="13.2">
      <c r="C78" s="2774"/>
      <c r="D78" s="2775"/>
      <c r="E78" s="2777"/>
      <c r="F78" s="2769" t="s">
        <v>41</v>
      </c>
      <c r="H78" s="2769">
        <v>235</v>
      </c>
      <c r="I78" s="2787">
        <f t="shared" ref="I78:Q78" si="20">I130+I182</f>
        <v>2.83</v>
      </c>
      <c r="J78" s="2787">
        <f t="shared" si="20"/>
        <v>4.78</v>
      </c>
      <c r="K78" s="2787">
        <f t="shared" si="20"/>
        <v>5.46</v>
      </c>
      <c r="L78" s="2787">
        <f t="shared" si="20"/>
        <v>3.02</v>
      </c>
      <c r="M78" s="2787">
        <f t="shared" si="20"/>
        <v>5.45</v>
      </c>
      <c r="N78" s="2787">
        <f t="shared" si="20"/>
        <v>6.28</v>
      </c>
      <c r="O78" s="2787">
        <f t="shared" si="20"/>
        <v>3.12</v>
      </c>
      <c r="P78" s="2787">
        <f t="shared" si="20"/>
        <v>4.49</v>
      </c>
      <c r="Q78" s="2787">
        <f t="shared" si="20"/>
        <v>5.1199999999999992</v>
      </c>
    </row>
    <row r="79" spans="3:17" ht="13.2">
      <c r="C79" s="2774"/>
      <c r="D79" s="2775"/>
      <c r="E79" s="2772" t="s">
        <v>293</v>
      </c>
      <c r="F79" s="2769" t="s">
        <v>40</v>
      </c>
      <c r="H79" s="2769">
        <v>243</v>
      </c>
      <c r="I79" s="2787">
        <f t="shared" ref="I79:Q79" si="21">I131+I183</f>
        <v>3.92</v>
      </c>
      <c r="J79" s="2787">
        <f t="shared" si="21"/>
        <v>5.33</v>
      </c>
      <c r="K79" s="2787">
        <f t="shared" si="21"/>
        <v>6.1899999999999995</v>
      </c>
      <c r="L79" s="2787">
        <f t="shared" si="21"/>
        <v>4.17</v>
      </c>
      <c r="M79" s="2787">
        <f t="shared" si="21"/>
        <v>6.0399999999999991</v>
      </c>
      <c r="N79" s="2787">
        <f t="shared" si="21"/>
        <v>7.05</v>
      </c>
      <c r="O79" s="2787">
        <f t="shared" si="21"/>
        <v>3.12</v>
      </c>
      <c r="P79" s="2787">
        <f t="shared" si="21"/>
        <v>4.49</v>
      </c>
      <c r="Q79" s="2787">
        <f t="shared" si="21"/>
        <v>5.1199999999999992</v>
      </c>
    </row>
    <row r="80" spans="3:17" ht="13.2">
      <c r="C80" s="2774"/>
      <c r="D80" s="2775"/>
      <c r="E80" s="2776"/>
      <c r="F80" s="2769" t="s">
        <v>293</v>
      </c>
      <c r="H80" s="2769">
        <v>244</v>
      </c>
      <c r="I80" s="2787">
        <f t="shared" ref="I80:Q80" si="22">I132+I184</f>
        <v>3.38</v>
      </c>
      <c r="J80" s="2787">
        <f t="shared" si="22"/>
        <v>4.78</v>
      </c>
      <c r="K80" s="2787">
        <f t="shared" si="22"/>
        <v>5.49</v>
      </c>
      <c r="L80" s="2787">
        <f t="shared" si="22"/>
        <v>3.6</v>
      </c>
      <c r="M80" s="2787">
        <f t="shared" si="22"/>
        <v>5.45</v>
      </c>
      <c r="N80" s="2787">
        <f t="shared" si="22"/>
        <v>6.3100000000000005</v>
      </c>
      <c r="O80" s="2787">
        <f t="shared" si="22"/>
        <v>3.12</v>
      </c>
      <c r="P80" s="2787">
        <f t="shared" si="22"/>
        <v>4.49</v>
      </c>
      <c r="Q80" s="2787">
        <f t="shared" si="22"/>
        <v>4.99</v>
      </c>
    </row>
    <row r="81" spans="3:17" ht="13.2">
      <c r="C81" s="2778"/>
      <c r="D81" s="2779"/>
      <c r="E81" s="2777"/>
      <c r="F81" s="2769" t="s">
        <v>41</v>
      </c>
      <c r="H81" s="2769">
        <v>245</v>
      </c>
      <c r="I81" s="2787">
        <f t="shared" ref="I81:Q81" si="23">I133+I185</f>
        <v>2.83</v>
      </c>
      <c r="J81" s="2787">
        <f t="shared" si="23"/>
        <v>4.78</v>
      </c>
      <c r="K81" s="2787">
        <f t="shared" si="23"/>
        <v>5.3000000000000007</v>
      </c>
      <c r="L81" s="2787">
        <f t="shared" si="23"/>
        <v>3.02</v>
      </c>
      <c r="M81" s="2787">
        <f t="shared" si="23"/>
        <v>5.45</v>
      </c>
      <c r="N81" s="2787">
        <f t="shared" si="23"/>
        <v>6.13</v>
      </c>
      <c r="O81" s="2787">
        <f t="shared" si="23"/>
        <v>3.12</v>
      </c>
      <c r="P81" s="2787">
        <f t="shared" si="23"/>
        <v>4.49</v>
      </c>
      <c r="Q81" s="2787">
        <f t="shared" si="23"/>
        <v>4.99</v>
      </c>
    </row>
    <row r="82" spans="3:17" ht="13.2">
      <c r="C82" s="2770" t="s">
        <v>40</v>
      </c>
      <c r="D82" s="2771"/>
      <c r="E82" s="2772" t="s">
        <v>39</v>
      </c>
      <c r="F82" s="2769" t="s">
        <v>40</v>
      </c>
      <c r="H82" s="2769">
        <v>313</v>
      </c>
      <c r="I82" s="2787">
        <f t="shared" ref="I82:Q82" si="24">I134+I186</f>
        <v>3.79</v>
      </c>
      <c r="J82" s="2787">
        <f t="shared" si="24"/>
        <v>5.45</v>
      </c>
      <c r="K82" s="2787">
        <f t="shared" si="24"/>
        <v>6.4</v>
      </c>
      <c r="L82" s="2787">
        <f t="shared" si="24"/>
        <v>3.96</v>
      </c>
      <c r="M82" s="2787">
        <f t="shared" si="24"/>
        <v>6.12</v>
      </c>
      <c r="N82" s="2787">
        <f t="shared" si="24"/>
        <v>7.23</v>
      </c>
      <c r="O82" s="2787">
        <f t="shared" si="24"/>
        <v>3.92</v>
      </c>
      <c r="P82" s="2787">
        <f t="shared" si="24"/>
        <v>5.2799999999999994</v>
      </c>
      <c r="Q82" s="2787">
        <f t="shared" si="24"/>
        <v>5.92</v>
      </c>
    </row>
    <row r="83" spans="3:17" ht="13.2">
      <c r="C83" s="2774"/>
      <c r="D83" s="2775"/>
      <c r="E83" s="2776"/>
      <c r="F83" s="2769" t="s">
        <v>293</v>
      </c>
      <c r="H83" s="2769">
        <v>314</v>
      </c>
      <c r="I83" s="2787">
        <f t="shared" ref="I83:Q83" si="25">I135+I187</f>
        <v>3.79</v>
      </c>
      <c r="J83" s="2787">
        <f t="shared" si="25"/>
        <v>5.45</v>
      </c>
      <c r="K83" s="2787">
        <f t="shared" si="25"/>
        <v>6.04</v>
      </c>
      <c r="L83" s="2787">
        <f t="shared" si="25"/>
        <v>3.96</v>
      </c>
      <c r="M83" s="2787">
        <f t="shared" si="25"/>
        <v>6.12</v>
      </c>
      <c r="N83" s="2787">
        <f t="shared" si="25"/>
        <v>6.8500000000000005</v>
      </c>
      <c r="O83" s="2787">
        <f t="shared" si="25"/>
        <v>3.92</v>
      </c>
      <c r="P83" s="2787">
        <f t="shared" si="25"/>
        <v>5.2799999999999994</v>
      </c>
      <c r="Q83" s="2787">
        <f t="shared" si="25"/>
        <v>5.92</v>
      </c>
    </row>
    <row r="84" spans="3:17" ht="13.2">
      <c r="C84" s="2774"/>
      <c r="D84" s="2775"/>
      <c r="E84" s="2777"/>
      <c r="F84" s="2769" t="s">
        <v>41</v>
      </c>
      <c r="H84" s="2769">
        <v>315</v>
      </c>
      <c r="I84" s="2787">
        <f t="shared" ref="I84:Q84" si="26">I136+I188</f>
        <v>3.79</v>
      </c>
      <c r="J84" s="2787">
        <f t="shared" si="26"/>
        <v>5.1800000000000006</v>
      </c>
      <c r="K84" s="2787">
        <f t="shared" si="26"/>
        <v>6.04</v>
      </c>
      <c r="L84" s="2787">
        <f t="shared" si="26"/>
        <v>3.96</v>
      </c>
      <c r="M84" s="2787">
        <f t="shared" si="26"/>
        <v>5.82</v>
      </c>
      <c r="N84" s="2787">
        <f t="shared" si="26"/>
        <v>6.8500000000000005</v>
      </c>
      <c r="O84" s="2787">
        <f t="shared" si="26"/>
        <v>3.92</v>
      </c>
      <c r="P84" s="2787">
        <f t="shared" si="26"/>
        <v>5.2799999999999994</v>
      </c>
      <c r="Q84" s="2787">
        <f t="shared" si="26"/>
        <v>5.92</v>
      </c>
    </row>
    <row r="85" spans="3:17" ht="13.2">
      <c r="C85" s="2774"/>
      <c r="D85" s="2775"/>
      <c r="E85" s="2772" t="s">
        <v>292</v>
      </c>
      <c r="F85" s="2769" t="s">
        <v>40</v>
      </c>
      <c r="H85" s="2769">
        <v>323</v>
      </c>
      <c r="I85" s="2787">
        <f t="shared" ref="I85:Q85" si="27">I137+I189</f>
        <v>3.79</v>
      </c>
      <c r="J85" s="2787">
        <f t="shared" si="27"/>
        <v>5.45</v>
      </c>
      <c r="K85" s="2787">
        <f t="shared" si="27"/>
        <v>6.4</v>
      </c>
      <c r="L85" s="2787">
        <f t="shared" si="27"/>
        <v>3.96</v>
      </c>
      <c r="M85" s="2787">
        <f t="shared" si="27"/>
        <v>6.12</v>
      </c>
      <c r="N85" s="2787">
        <f t="shared" si="27"/>
        <v>7.23</v>
      </c>
      <c r="O85" s="2787">
        <f t="shared" si="27"/>
        <v>3.92</v>
      </c>
      <c r="P85" s="2787">
        <f t="shared" si="27"/>
        <v>5.2799999999999994</v>
      </c>
      <c r="Q85" s="2787">
        <f t="shared" si="27"/>
        <v>5.92</v>
      </c>
    </row>
    <row r="86" spans="3:17" ht="13.2">
      <c r="C86" s="2774"/>
      <c r="D86" s="2775"/>
      <c r="E86" s="2776"/>
      <c r="F86" s="2769" t="s">
        <v>293</v>
      </c>
      <c r="H86" s="2769">
        <v>324</v>
      </c>
      <c r="I86" s="2787">
        <f t="shared" ref="I86:Q86" si="28">I138+I190</f>
        <v>3.3</v>
      </c>
      <c r="J86" s="2787">
        <f t="shared" si="28"/>
        <v>4.9799999999999995</v>
      </c>
      <c r="K86" s="2787">
        <f t="shared" si="28"/>
        <v>5.57</v>
      </c>
      <c r="L86" s="2787">
        <f t="shared" si="28"/>
        <v>3.49</v>
      </c>
      <c r="M86" s="2787">
        <f t="shared" si="28"/>
        <v>5.6400000000000006</v>
      </c>
      <c r="N86" s="2787">
        <f t="shared" si="28"/>
        <v>6.37</v>
      </c>
      <c r="O86" s="2787">
        <f t="shared" si="28"/>
        <v>3.52</v>
      </c>
      <c r="P86" s="2787">
        <f t="shared" si="28"/>
        <v>4.8900000000000006</v>
      </c>
      <c r="Q86" s="2787">
        <f t="shared" si="28"/>
        <v>5.53</v>
      </c>
    </row>
    <row r="87" spans="3:17" ht="13.2">
      <c r="C87" s="2774"/>
      <c r="D87" s="2775"/>
      <c r="E87" s="2777"/>
      <c r="F87" s="2769" t="s">
        <v>41</v>
      </c>
      <c r="H87" s="2769">
        <v>325</v>
      </c>
      <c r="I87" s="2787">
        <f t="shared" ref="I87:Q87" si="29">I139+I191</f>
        <v>2.83</v>
      </c>
      <c r="J87" s="2787">
        <f t="shared" si="29"/>
        <v>4.71</v>
      </c>
      <c r="K87" s="2787">
        <f t="shared" si="29"/>
        <v>5.4</v>
      </c>
      <c r="L87" s="2787">
        <f t="shared" si="29"/>
        <v>3.02</v>
      </c>
      <c r="M87" s="2787">
        <f t="shared" si="29"/>
        <v>5.35</v>
      </c>
      <c r="N87" s="2787">
        <f t="shared" si="29"/>
        <v>6.21</v>
      </c>
      <c r="O87" s="2787">
        <f t="shared" si="29"/>
        <v>3.12</v>
      </c>
      <c r="P87" s="2787">
        <f t="shared" si="29"/>
        <v>4.8900000000000006</v>
      </c>
      <c r="Q87" s="2787">
        <f t="shared" si="29"/>
        <v>5.4</v>
      </c>
    </row>
    <row r="88" spans="3:17" ht="13.2">
      <c r="C88" s="2774"/>
      <c r="D88" s="2775"/>
      <c r="E88" s="2772" t="s">
        <v>40</v>
      </c>
      <c r="F88" s="2769" t="s">
        <v>40</v>
      </c>
      <c r="H88" s="2769">
        <v>333</v>
      </c>
      <c r="I88" s="2788">
        <f t="shared" ref="I88:Q88" si="30">I140+I192</f>
        <v>2.83</v>
      </c>
      <c r="J88" s="2787">
        <f t="shared" si="30"/>
        <v>4.75</v>
      </c>
      <c r="K88" s="2787">
        <f t="shared" si="30"/>
        <v>5.7700000000000005</v>
      </c>
      <c r="L88" s="2788">
        <f t="shared" si="30"/>
        <v>3.02</v>
      </c>
      <c r="M88" s="2787">
        <f t="shared" si="30"/>
        <v>5.41</v>
      </c>
      <c r="N88" s="2787">
        <f t="shared" si="30"/>
        <v>6.6</v>
      </c>
      <c r="O88" s="2788">
        <f t="shared" si="30"/>
        <v>3.12</v>
      </c>
      <c r="P88" s="2787">
        <f t="shared" si="30"/>
        <v>4.6899999999999995</v>
      </c>
      <c r="Q88" s="2787">
        <f t="shared" si="30"/>
        <v>5.4</v>
      </c>
    </row>
    <row r="89" spans="3:17" ht="13.2">
      <c r="C89" s="2774"/>
      <c r="D89" s="2775"/>
      <c r="E89" s="2776"/>
      <c r="F89" s="2769" t="s">
        <v>293</v>
      </c>
      <c r="H89" s="2769">
        <v>334</v>
      </c>
      <c r="I89" s="2787">
        <f t="shared" ref="I89:Q89" si="31">I141+I193</f>
        <v>2.83</v>
      </c>
      <c r="J89" s="2787">
        <f t="shared" si="31"/>
        <v>4.75</v>
      </c>
      <c r="K89" s="2787">
        <f t="shared" si="31"/>
        <v>5.09</v>
      </c>
      <c r="L89" s="2787">
        <f t="shared" si="31"/>
        <v>3.02</v>
      </c>
      <c r="M89" s="2787">
        <f t="shared" si="31"/>
        <v>5.41</v>
      </c>
      <c r="N89" s="2787">
        <f t="shared" si="31"/>
        <v>5.89</v>
      </c>
      <c r="O89" s="2787">
        <f t="shared" si="31"/>
        <v>3.12</v>
      </c>
      <c r="P89" s="2787">
        <f t="shared" si="31"/>
        <v>4.6899999999999995</v>
      </c>
      <c r="Q89" s="2787">
        <f t="shared" si="31"/>
        <v>5.1199999999999992</v>
      </c>
    </row>
    <row r="90" spans="3:17" ht="13.2">
      <c r="C90" s="2774"/>
      <c r="D90" s="2775"/>
      <c r="E90" s="2777"/>
      <c r="F90" s="2769" t="s">
        <v>41</v>
      </c>
      <c r="H90" s="2769">
        <v>335</v>
      </c>
      <c r="I90" s="2787">
        <f t="shared" ref="I90:Q90" si="32">I142+I194</f>
        <v>2.83</v>
      </c>
      <c r="J90" s="2787">
        <f t="shared" si="32"/>
        <v>4.2300000000000004</v>
      </c>
      <c r="K90" s="2787">
        <f t="shared" si="32"/>
        <v>5.09</v>
      </c>
      <c r="L90" s="2787">
        <f t="shared" si="32"/>
        <v>3.02</v>
      </c>
      <c r="M90" s="2787">
        <f t="shared" si="32"/>
        <v>4.88</v>
      </c>
      <c r="N90" s="2787">
        <f t="shared" si="32"/>
        <v>5.89</v>
      </c>
      <c r="O90" s="2787">
        <f t="shared" si="32"/>
        <v>3.12</v>
      </c>
      <c r="P90" s="2787">
        <f t="shared" si="32"/>
        <v>4.49</v>
      </c>
      <c r="Q90" s="2787">
        <f t="shared" si="32"/>
        <v>5.1199999999999992</v>
      </c>
    </row>
    <row r="91" spans="3:17" ht="13.2">
      <c r="C91" s="2774"/>
      <c r="D91" s="2775"/>
      <c r="E91" s="2772" t="s">
        <v>293</v>
      </c>
      <c r="F91" s="2769" t="s">
        <v>40</v>
      </c>
      <c r="H91" s="2769">
        <v>343</v>
      </c>
      <c r="I91" s="2787">
        <f t="shared" ref="I91:Q91" si="33">I143+I195</f>
        <v>2.83</v>
      </c>
      <c r="J91" s="2787">
        <f t="shared" si="33"/>
        <v>4.5</v>
      </c>
      <c r="K91" s="2787">
        <f t="shared" si="33"/>
        <v>5.46</v>
      </c>
      <c r="L91" s="2787">
        <f t="shared" si="33"/>
        <v>3.02</v>
      </c>
      <c r="M91" s="2787">
        <f t="shared" si="33"/>
        <v>5.16</v>
      </c>
      <c r="N91" s="2787">
        <f t="shared" si="33"/>
        <v>6.28</v>
      </c>
      <c r="O91" s="2787">
        <f t="shared" si="33"/>
        <v>3.12</v>
      </c>
      <c r="P91" s="2787">
        <f t="shared" si="33"/>
        <v>4.49</v>
      </c>
      <c r="Q91" s="2787">
        <f t="shared" si="33"/>
        <v>5.1199999999999992</v>
      </c>
    </row>
    <row r="92" spans="3:17" ht="13.2">
      <c r="C92" s="2774"/>
      <c r="D92" s="2775"/>
      <c r="E92" s="2776"/>
      <c r="F92" s="2769" t="s">
        <v>293</v>
      </c>
      <c r="H92" s="2769">
        <v>344</v>
      </c>
      <c r="I92" s="2787">
        <f t="shared" ref="I92:Q92" si="34">I144+I196</f>
        <v>2.83</v>
      </c>
      <c r="J92" s="2787">
        <f t="shared" si="34"/>
        <v>4.5</v>
      </c>
      <c r="K92" s="2787">
        <f t="shared" si="34"/>
        <v>4.93</v>
      </c>
      <c r="L92" s="2787">
        <f t="shared" si="34"/>
        <v>3.02</v>
      </c>
      <c r="M92" s="2787">
        <f t="shared" si="34"/>
        <v>5.16</v>
      </c>
      <c r="N92" s="2787">
        <f t="shared" si="34"/>
        <v>5.7399999999999993</v>
      </c>
      <c r="O92" s="2787">
        <f t="shared" si="34"/>
        <v>3.12</v>
      </c>
      <c r="P92" s="2787">
        <f t="shared" si="34"/>
        <v>4.49</v>
      </c>
      <c r="Q92" s="2787">
        <f t="shared" si="34"/>
        <v>4.99</v>
      </c>
    </row>
    <row r="93" spans="3:17" ht="13.2">
      <c r="C93" s="2778"/>
      <c r="D93" s="2779"/>
      <c r="E93" s="2777"/>
      <c r="F93" s="2769" t="s">
        <v>41</v>
      </c>
      <c r="H93" s="2769">
        <v>345</v>
      </c>
      <c r="I93" s="2787">
        <f t="shared" ref="I93:Q93" si="35">I145+I197</f>
        <v>2.83</v>
      </c>
      <c r="J93" s="2787">
        <f t="shared" si="35"/>
        <v>4.2300000000000004</v>
      </c>
      <c r="K93" s="2787">
        <f t="shared" si="35"/>
        <v>4.93</v>
      </c>
      <c r="L93" s="2787">
        <f t="shared" si="35"/>
        <v>3.02</v>
      </c>
      <c r="M93" s="2787">
        <f t="shared" si="35"/>
        <v>4.88</v>
      </c>
      <c r="N93" s="2787">
        <f t="shared" si="35"/>
        <v>5.7399999999999993</v>
      </c>
      <c r="O93" s="2787">
        <f t="shared" si="35"/>
        <v>3.12</v>
      </c>
      <c r="P93" s="2787">
        <f t="shared" si="35"/>
        <v>4.49</v>
      </c>
      <c r="Q93" s="2787">
        <f t="shared" si="35"/>
        <v>4.99</v>
      </c>
    </row>
    <row r="94" spans="3:17" ht="13.2">
      <c r="C94" s="2770" t="s">
        <v>293</v>
      </c>
      <c r="D94" s="2771"/>
      <c r="E94" s="2772" t="s">
        <v>39</v>
      </c>
      <c r="F94" s="2769" t="s">
        <v>40</v>
      </c>
      <c r="H94" s="2769">
        <v>413</v>
      </c>
      <c r="I94" s="2787">
        <f t="shared" ref="I94:Q94" si="36">I146+I198</f>
        <v>3.79</v>
      </c>
      <c r="J94" s="2787">
        <f t="shared" si="36"/>
        <v>5.1800000000000006</v>
      </c>
      <c r="K94" s="2787">
        <f t="shared" si="36"/>
        <v>6.04</v>
      </c>
      <c r="L94" s="2787">
        <f t="shared" si="36"/>
        <v>3.96</v>
      </c>
      <c r="M94" s="2787">
        <f t="shared" si="36"/>
        <v>5.82</v>
      </c>
      <c r="N94" s="2787">
        <f t="shared" si="36"/>
        <v>6.8500000000000005</v>
      </c>
      <c r="O94" s="2787">
        <f t="shared" si="36"/>
        <v>3.92</v>
      </c>
      <c r="P94" s="2787">
        <f t="shared" si="36"/>
        <v>5.2799999999999994</v>
      </c>
      <c r="Q94" s="2787">
        <f t="shared" si="36"/>
        <v>5.92</v>
      </c>
    </row>
    <row r="95" spans="3:17" ht="13.2">
      <c r="C95" s="2774"/>
      <c r="D95" s="2775"/>
      <c r="E95" s="2776"/>
      <c r="F95" s="2769" t="s">
        <v>293</v>
      </c>
      <c r="H95" s="2769">
        <v>414</v>
      </c>
      <c r="I95" s="2787">
        <f t="shared" ref="I95:Q95" si="37">I147+I199</f>
        <v>3.79</v>
      </c>
      <c r="J95" s="2787">
        <f t="shared" si="37"/>
        <v>5.1800000000000006</v>
      </c>
      <c r="K95" s="2787">
        <f t="shared" si="37"/>
        <v>5.8599999999999994</v>
      </c>
      <c r="L95" s="2787">
        <f t="shared" si="37"/>
        <v>3.96</v>
      </c>
      <c r="M95" s="2787">
        <f t="shared" si="37"/>
        <v>5.82</v>
      </c>
      <c r="N95" s="2787">
        <f t="shared" si="37"/>
        <v>6.6499999999999995</v>
      </c>
      <c r="O95" s="2787">
        <f t="shared" si="37"/>
        <v>3.92</v>
      </c>
      <c r="P95" s="2787">
        <f t="shared" si="37"/>
        <v>5.2799999999999994</v>
      </c>
      <c r="Q95" s="2787">
        <f t="shared" si="37"/>
        <v>5.92</v>
      </c>
    </row>
    <row r="96" spans="3:17" ht="13.2">
      <c r="C96" s="2774"/>
      <c r="D96" s="2775"/>
      <c r="E96" s="2777"/>
      <c r="F96" s="2769" t="s">
        <v>41</v>
      </c>
      <c r="H96" s="2769">
        <v>415</v>
      </c>
      <c r="I96" s="2787">
        <f t="shared" ref="I96:Q96" si="38">I148+I200</f>
        <v>3.79</v>
      </c>
      <c r="J96" s="2787">
        <f t="shared" si="38"/>
        <v>5.1800000000000006</v>
      </c>
      <c r="K96" s="2787">
        <f t="shared" si="38"/>
        <v>5.8599999999999994</v>
      </c>
      <c r="L96" s="2787">
        <f t="shared" si="38"/>
        <v>3.96</v>
      </c>
      <c r="M96" s="2787">
        <f t="shared" si="38"/>
        <v>5.82</v>
      </c>
      <c r="N96" s="2787">
        <f t="shared" si="38"/>
        <v>6.6499999999999995</v>
      </c>
      <c r="O96" s="2787">
        <f t="shared" si="38"/>
        <v>3.92</v>
      </c>
      <c r="P96" s="2787">
        <f t="shared" si="38"/>
        <v>5.2799999999999994</v>
      </c>
      <c r="Q96" s="2787">
        <f t="shared" si="38"/>
        <v>5.92</v>
      </c>
    </row>
    <row r="97" spans="2:21" ht="13.2">
      <c r="C97" s="2774"/>
      <c r="D97" s="2775"/>
      <c r="E97" s="2772" t="s">
        <v>292</v>
      </c>
      <c r="F97" s="2769" t="s">
        <v>40</v>
      </c>
      <c r="H97" s="2769">
        <v>423</v>
      </c>
      <c r="I97" s="2787">
        <f t="shared" ref="I97:Q97" si="39">I149+I201</f>
        <v>3.79</v>
      </c>
      <c r="J97" s="2787">
        <f t="shared" si="39"/>
        <v>5.1800000000000006</v>
      </c>
      <c r="K97" s="2787">
        <f t="shared" si="39"/>
        <v>6.04</v>
      </c>
      <c r="L97" s="2787">
        <f t="shared" si="39"/>
        <v>3.96</v>
      </c>
      <c r="M97" s="2787">
        <f t="shared" si="39"/>
        <v>5.82</v>
      </c>
      <c r="N97" s="2787">
        <f t="shared" si="39"/>
        <v>6.8500000000000005</v>
      </c>
      <c r="O97" s="2787">
        <f t="shared" si="39"/>
        <v>3.92</v>
      </c>
      <c r="P97" s="2787">
        <f t="shared" si="39"/>
        <v>5.2799999999999994</v>
      </c>
      <c r="Q97" s="2787">
        <f t="shared" si="39"/>
        <v>5.92</v>
      </c>
    </row>
    <row r="98" spans="2:21" ht="13.2">
      <c r="C98" s="2774"/>
      <c r="D98" s="2775"/>
      <c r="E98" s="2776"/>
      <c r="F98" s="2769" t="s">
        <v>293</v>
      </c>
      <c r="H98" s="2769">
        <v>424</v>
      </c>
      <c r="I98" s="2787">
        <f t="shared" ref="I98:Q98" si="40">I150+I202</f>
        <v>3.3</v>
      </c>
      <c r="J98" s="2787">
        <f t="shared" si="40"/>
        <v>4.71</v>
      </c>
      <c r="K98" s="2787">
        <f t="shared" si="40"/>
        <v>5.38</v>
      </c>
      <c r="L98" s="2787">
        <f t="shared" si="40"/>
        <v>3.49</v>
      </c>
      <c r="M98" s="2787">
        <f t="shared" si="40"/>
        <v>5.35</v>
      </c>
      <c r="N98" s="2787">
        <f t="shared" si="40"/>
        <v>6.18</v>
      </c>
      <c r="O98" s="2787">
        <f t="shared" si="40"/>
        <v>3.52</v>
      </c>
      <c r="P98" s="2787">
        <f t="shared" si="40"/>
        <v>4.8900000000000006</v>
      </c>
      <c r="Q98" s="2787">
        <f t="shared" si="40"/>
        <v>5.53</v>
      </c>
      <c r="T98" s="2300"/>
      <c r="U98" s="2300"/>
    </row>
    <row r="99" spans="2:21" ht="13.2">
      <c r="C99" s="2774"/>
      <c r="D99" s="2775"/>
      <c r="E99" s="2777"/>
      <c r="F99" s="2769" t="s">
        <v>41</v>
      </c>
      <c r="H99" s="2769">
        <v>425</v>
      </c>
      <c r="I99" s="2787">
        <f t="shared" ref="I99:Q99" si="41">I151+I203</f>
        <v>2.83</v>
      </c>
      <c r="J99" s="2787">
        <f t="shared" si="41"/>
        <v>4.71</v>
      </c>
      <c r="K99" s="2787">
        <f t="shared" si="41"/>
        <v>5.23</v>
      </c>
      <c r="L99" s="2787">
        <f t="shared" si="41"/>
        <v>3.02</v>
      </c>
      <c r="M99" s="2787">
        <f t="shared" si="41"/>
        <v>5.35</v>
      </c>
      <c r="N99" s="2787">
        <f t="shared" si="41"/>
        <v>6.0200000000000005</v>
      </c>
      <c r="O99" s="2787">
        <f t="shared" si="41"/>
        <v>3.12</v>
      </c>
      <c r="P99" s="2787">
        <f t="shared" si="41"/>
        <v>4.8900000000000006</v>
      </c>
      <c r="Q99" s="2787">
        <f t="shared" si="41"/>
        <v>5.4</v>
      </c>
      <c r="T99" s="2300"/>
      <c r="U99" s="2300"/>
    </row>
    <row r="100" spans="2:21" ht="13.2">
      <c r="C100" s="2774"/>
      <c r="D100" s="2775"/>
      <c r="E100" s="2772" t="s">
        <v>40</v>
      </c>
      <c r="F100" s="2769" t="s">
        <v>40</v>
      </c>
      <c r="H100" s="2769">
        <v>433</v>
      </c>
      <c r="I100" s="2787">
        <f t="shared" ref="I100:Q100" si="42">I152+I204</f>
        <v>2.83</v>
      </c>
      <c r="J100" s="2787">
        <f t="shared" si="42"/>
        <v>4.47</v>
      </c>
      <c r="K100" s="2787">
        <f t="shared" si="42"/>
        <v>5.4</v>
      </c>
      <c r="L100" s="2787">
        <f t="shared" si="42"/>
        <v>3.02</v>
      </c>
      <c r="M100" s="2787">
        <f t="shared" si="42"/>
        <v>5.12</v>
      </c>
      <c r="N100" s="2787">
        <f t="shared" si="42"/>
        <v>6.21</v>
      </c>
      <c r="O100" s="2787">
        <f t="shared" si="42"/>
        <v>3.12</v>
      </c>
      <c r="P100" s="2787">
        <f t="shared" si="42"/>
        <v>4.6899999999999995</v>
      </c>
      <c r="Q100" s="2787">
        <f t="shared" si="42"/>
        <v>5.4</v>
      </c>
      <c r="T100" s="2300"/>
      <c r="U100" s="2300"/>
    </row>
    <row r="101" spans="2:21" ht="13.2">
      <c r="C101" s="2774"/>
      <c r="D101" s="2775"/>
      <c r="E101" s="2776"/>
      <c r="F101" s="2769" t="s">
        <v>293</v>
      </c>
      <c r="H101" s="2769">
        <v>434</v>
      </c>
      <c r="I101" s="2787">
        <f t="shared" ref="I101:Q101" si="43">I153+I205</f>
        <v>2.83</v>
      </c>
      <c r="J101" s="2787">
        <f t="shared" si="43"/>
        <v>4.47</v>
      </c>
      <c r="K101" s="2787">
        <f t="shared" si="43"/>
        <v>4.91</v>
      </c>
      <c r="L101" s="2787">
        <f t="shared" si="43"/>
        <v>3.02</v>
      </c>
      <c r="M101" s="2787">
        <f t="shared" si="43"/>
        <v>5.12</v>
      </c>
      <c r="N101" s="2787">
        <f t="shared" si="43"/>
        <v>5.6999999999999993</v>
      </c>
      <c r="O101" s="2787">
        <f t="shared" si="43"/>
        <v>3.12</v>
      </c>
      <c r="P101" s="2787">
        <f t="shared" si="43"/>
        <v>4.6899999999999995</v>
      </c>
      <c r="Q101" s="2787">
        <f t="shared" si="43"/>
        <v>5.1199999999999992</v>
      </c>
      <c r="T101" s="2300"/>
      <c r="U101" s="2300"/>
    </row>
    <row r="102" spans="2:21" ht="13.2">
      <c r="C102" s="2774"/>
      <c r="D102" s="2775"/>
      <c r="E102" s="2777"/>
      <c r="F102" s="2769" t="s">
        <v>41</v>
      </c>
      <c r="H102" s="2769">
        <v>435</v>
      </c>
      <c r="I102" s="2787">
        <f t="shared" ref="I102:Q102" si="44">I154+I206</f>
        <v>2.83</v>
      </c>
      <c r="J102" s="2787">
        <f t="shared" si="44"/>
        <v>4.2300000000000004</v>
      </c>
      <c r="K102" s="2787">
        <f t="shared" si="44"/>
        <v>4.91</v>
      </c>
      <c r="L102" s="2787">
        <f t="shared" si="44"/>
        <v>3.02</v>
      </c>
      <c r="M102" s="2787">
        <f t="shared" si="44"/>
        <v>4.88</v>
      </c>
      <c r="N102" s="2787">
        <f t="shared" si="44"/>
        <v>5.6999999999999993</v>
      </c>
      <c r="O102" s="2787">
        <f t="shared" si="44"/>
        <v>3.12</v>
      </c>
      <c r="P102" s="2787">
        <f t="shared" si="44"/>
        <v>4.49</v>
      </c>
      <c r="Q102" s="2787">
        <f t="shared" si="44"/>
        <v>5.1199999999999992</v>
      </c>
      <c r="T102" s="2300"/>
      <c r="U102" s="2300"/>
    </row>
    <row r="103" spans="2:21" ht="13.2">
      <c r="C103" s="2774"/>
      <c r="D103" s="2775"/>
      <c r="E103" s="2772" t="s">
        <v>293</v>
      </c>
      <c r="F103" s="2769" t="s">
        <v>40</v>
      </c>
      <c r="H103" s="2769">
        <v>443</v>
      </c>
      <c r="I103" s="2787">
        <f t="shared" ref="I103:Q103" si="45">I155+I207</f>
        <v>2.83</v>
      </c>
      <c r="J103" s="2787">
        <f t="shared" si="45"/>
        <v>4.2300000000000004</v>
      </c>
      <c r="K103" s="2787">
        <f t="shared" si="45"/>
        <v>5.09</v>
      </c>
      <c r="L103" s="2787">
        <f t="shared" si="45"/>
        <v>3.02</v>
      </c>
      <c r="M103" s="2787">
        <f t="shared" si="45"/>
        <v>4.88</v>
      </c>
      <c r="N103" s="2787">
        <f t="shared" si="45"/>
        <v>5.89</v>
      </c>
      <c r="O103" s="2787">
        <f t="shared" si="45"/>
        <v>3.12</v>
      </c>
      <c r="P103" s="2787">
        <f t="shared" si="45"/>
        <v>4.49</v>
      </c>
      <c r="Q103" s="2787">
        <f t="shared" si="45"/>
        <v>5.1199999999999992</v>
      </c>
      <c r="T103" s="2300"/>
      <c r="U103" s="2300"/>
    </row>
    <row r="104" spans="2:21" ht="12.6" customHeight="1">
      <c r="C104" s="2774"/>
      <c r="D104" s="2775"/>
      <c r="E104" s="2776"/>
      <c r="F104" s="2769" t="s">
        <v>293</v>
      </c>
      <c r="H104" s="2769">
        <v>444</v>
      </c>
      <c r="I104" s="2787">
        <f t="shared" ref="I104:Q104" si="46">I156+I208</f>
        <v>2.83</v>
      </c>
      <c r="J104" s="2787">
        <f t="shared" si="46"/>
        <v>4.2300000000000004</v>
      </c>
      <c r="K104" s="2787">
        <f t="shared" si="46"/>
        <v>4.75</v>
      </c>
      <c r="L104" s="2787">
        <f t="shared" si="46"/>
        <v>3.02</v>
      </c>
      <c r="M104" s="2787">
        <f t="shared" si="46"/>
        <v>4.88</v>
      </c>
      <c r="N104" s="2787">
        <f t="shared" si="46"/>
        <v>5.55</v>
      </c>
      <c r="O104" s="2787">
        <f t="shared" si="46"/>
        <v>3.12</v>
      </c>
      <c r="P104" s="2787">
        <f t="shared" si="46"/>
        <v>4.49</v>
      </c>
      <c r="Q104" s="2787">
        <f t="shared" si="46"/>
        <v>4.99</v>
      </c>
      <c r="T104" s="2300"/>
      <c r="U104" s="2300"/>
    </row>
    <row r="105" spans="2:21" ht="12.6" customHeight="1">
      <c r="C105" s="2778"/>
      <c r="D105" s="2779"/>
      <c r="E105" s="2777"/>
      <c r="F105" s="2769" t="s">
        <v>41</v>
      </c>
      <c r="H105" s="2769">
        <v>445</v>
      </c>
      <c r="I105" s="2787">
        <f t="shared" ref="I105:Q105" si="47">I157+I209</f>
        <v>2.83</v>
      </c>
      <c r="J105" s="2787">
        <f t="shared" si="47"/>
        <v>4.2300000000000004</v>
      </c>
      <c r="K105" s="2787">
        <f t="shared" si="47"/>
        <v>4.75</v>
      </c>
      <c r="L105" s="2787">
        <f t="shared" si="47"/>
        <v>3.02</v>
      </c>
      <c r="M105" s="2787">
        <f t="shared" si="47"/>
        <v>4.88</v>
      </c>
      <c r="N105" s="2787">
        <f t="shared" si="47"/>
        <v>5.55</v>
      </c>
      <c r="O105" s="2787">
        <f t="shared" si="47"/>
        <v>3.12</v>
      </c>
      <c r="P105" s="2787">
        <f t="shared" si="47"/>
        <v>4.49</v>
      </c>
      <c r="Q105" s="2787">
        <f t="shared" si="47"/>
        <v>4.99</v>
      </c>
      <c r="T105" s="2300"/>
      <c r="U105" s="2300"/>
    </row>
    <row r="106" spans="2:21" ht="14.1" customHeight="1">
      <c r="B106" s="2301"/>
      <c r="T106" s="2300"/>
      <c r="U106" s="2300"/>
    </row>
    <row r="107" spans="2:21" ht="14.1" hidden="1" customHeight="1" outlineLevel="1">
      <c r="C107" s="2291" t="s">
        <v>2170</v>
      </c>
      <c r="D107" s="2291"/>
      <c r="I107" s="2292" t="s">
        <v>2171</v>
      </c>
      <c r="J107" s="2781"/>
      <c r="K107" s="2781"/>
      <c r="L107" s="2782"/>
      <c r="M107" s="2782"/>
      <c r="N107" s="2782"/>
      <c r="O107" s="2782"/>
      <c r="P107" s="2782"/>
      <c r="Q107" s="2783"/>
      <c r="T107" s="2300"/>
      <c r="U107" s="2300"/>
    </row>
    <row r="108" spans="2:21" ht="14.1" hidden="1" customHeight="1" outlineLevel="1">
      <c r="C108" s="2296"/>
      <c r="D108" s="2296"/>
      <c r="E108" s="2296"/>
      <c r="F108" s="2170" t="s">
        <v>715</v>
      </c>
      <c r="I108" s="2784" t="s">
        <v>1060</v>
      </c>
      <c r="J108" s="2782"/>
      <c r="K108" s="2785"/>
      <c r="L108" s="2784" t="s">
        <v>1061</v>
      </c>
      <c r="M108" s="2782"/>
      <c r="N108" s="2785"/>
      <c r="O108" s="2784" t="s">
        <v>1062</v>
      </c>
      <c r="P108" s="2782"/>
      <c r="Q108" s="2785"/>
      <c r="T108" s="2300"/>
      <c r="U108" s="2300"/>
    </row>
    <row r="109" spans="2:21" ht="14.1" hidden="1" customHeight="1" outlineLevel="1">
      <c r="C109" s="2765" t="s">
        <v>2167</v>
      </c>
      <c r="D109" s="2766"/>
      <c r="E109" s="2767" t="s">
        <v>2168</v>
      </c>
      <c r="F109" s="2768" t="s">
        <v>2169</v>
      </c>
      <c r="I109" s="2786" t="s">
        <v>1001</v>
      </c>
      <c r="J109" s="2786" t="s">
        <v>1063</v>
      </c>
      <c r="K109" s="2786" t="s">
        <v>1064</v>
      </c>
      <c r="L109" s="2786" t="s">
        <v>1001</v>
      </c>
      <c r="M109" s="2786" t="s">
        <v>1063</v>
      </c>
      <c r="N109" s="2786" t="s">
        <v>1064</v>
      </c>
      <c r="O109" s="2786" t="s">
        <v>1001</v>
      </c>
      <c r="P109" s="2786" t="s">
        <v>1063</v>
      </c>
      <c r="Q109" s="2786" t="s">
        <v>1064</v>
      </c>
      <c r="T109" s="2300"/>
      <c r="U109" s="2300"/>
    </row>
    <row r="110" spans="2:21" ht="14.1" hidden="1" customHeight="1" outlineLevel="1">
      <c r="C110" s="2770" t="s">
        <v>39</v>
      </c>
      <c r="D110" s="2771"/>
      <c r="E110" s="2772" t="s">
        <v>39</v>
      </c>
      <c r="F110" s="2769" t="s">
        <v>40</v>
      </c>
      <c r="I110" s="2789">
        <v>4.29</v>
      </c>
      <c r="J110" s="2789">
        <v>5.88</v>
      </c>
      <c r="K110" s="2789">
        <v>6.79</v>
      </c>
      <c r="L110" s="2789">
        <v>4.28</v>
      </c>
      <c r="M110" s="2789">
        <v>6.46</v>
      </c>
      <c r="N110" s="2789">
        <v>7.57</v>
      </c>
      <c r="O110" s="2789">
        <v>2.5499999999999998</v>
      </c>
      <c r="P110" s="2789">
        <v>4.55</v>
      </c>
      <c r="Q110" s="2789">
        <v>5.39</v>
      </c>
      <c r="T110" s="2300"/>
      <c r="U110" s="2300"/>
    </row>
    <row r="111" spans="2:21" ht="14.1" hidden="1" customHeight="1" outlineLevel="1">
      <c r="C111" s="2774"/>
      <c r="D111" s="2775"/>
      <c r="E111" s="2776"/>
      <c r="F111" s="2769" t="s">
        <v>293</v>
      </c>
      <c r="I111" s="2789">
        <v>4.29</v>
      </c>
      <c r="J111" s="2789">
        <v>5.88</v>
      </c>
      <c r="K111" s="2789">
        <v>6.79</v>
      </c>
      <c r="L111" s="2789">
        <v>4.28</v>
      </c>
      <c r="M111" s="2789">
        <v>6.46</v>
      </c>
      <c r="N111" s="2789">
        <v>7.57</v>
      </c>
      <c r="O111" s="2789">
        <v>2.5499999999999998</v>
      </c>
      <c r="P111" s="2789">
        <v>4.55</v>
      </c>
      <c r="Q111" s="2789">
        <v>5.39</v>
      </c>
      <c r="T111" s="2300"/>
      <c r="U111" s="2300"/>
    </row>
    <row r="112" spans="2:21" ht="14.1" hidden="1" customHeight="1" outlineLevel="1">
      <c r="C112" s="2774"/>
      <c r="D112" s="2775"/>
      <c r="E112" s="2777"/>
      <c r="F112" s="2769" t="s">
        <v>41</v>
      </c>
      <c r="I112" s="2789">
        <v>4.29</v>
      </c>
      <c r="J112" s="2789">
        <v>5.88</v>
      </c>
      <c r="K112" s="2789">
        <v>6.79</v>
      </c>
      <c r="L112" s="2789">
        <v>4.28</v>
      </c>
      <c r="M112" s="2789">
        <v>6.46</v>
      </c>
      <c r="N112" s="2789">
        <v>7.57</v>
      </c>
      <c r="O112" s="2789">
        <v>2.5499999999999998</v>
      </c>
      <c r="P112" s="2789">
        <v>4.55</v>
      </c>
      <c r="Q112" s="2789">
        <v>5.39</v>
      </c>
      <c r="T112" s="2300"/>
      <c r="U112" s="2300"/>
    </row>
    <row r="113" spans="3:21" ht="14.1" hidden="1" customHeight="1" outlineLevel="1">
      <c r="C113" s="2774"/>
      <c r="D113" s="2775"/>
      <c r="E113" s="2772" t="s">
        <v>292</v>
      </c>
      <c r="F113" s="2769" t="s">
        <v>40</v>
      </c>
      <c r="I113" s="2789">
        <v>4.29</v>
      </c>
      <c r="J113" s="2789">
        <v>5.88</v>
      </c>
      <c r="K113" s="2789">
        <v>6.79</v>
      </c>
      <c r="L113" s="2789">
        <v>4.28</v>
      </c>
      <c r="M113" s="2789">
        <v>6.46</v>
      </c>
      <c r="N113" s="2789">
        <v>7.57</v>
      </c>
      <c r="O113" s="2789">
        <v>2.5499999999999998</v>
      </c>
      <c r="P113" s="2789">
        <v>4.55</v>
      </c>
      <c r="Q113" s="2789">
        <v>5.39</v>
      </c>
      <c r="T113" s="2300"/>
      <c r="U113" s="2300"/>
    </row>
    <row r="114" spans="3:21" ht="14.1" hidden="1" customHeight="1" outlineLevel="1">
      <c r="C114" s="2774"/>
      <c r="D114" s="2775"/>
      <c r="E114" s="2776"/>
      <c r="F114" s="2769" t="s">
        <v>293</v>
      </c>
      <c r="I114" s="2789">
        <v>3.84</v>
      </c>
      <c r="J114" s="2789">
        <v>5.43</v>
      </c>
      <c r="K114" s="2789">
        <v>6.34</v>
      </c>
      <c r="L114" s="2789">
        <v>3.82</v>
      </c>
      <c r="M114" s="2789">
        <v>6.01</v>
      </c>
      <c r="N114" s="2789">
        <v>7.12</v>
      </c>
      <c r="O114" s="2789">
        <v>2.15</v>
      </c>
      <c r="P114" s="2789">
        <v>4.16</v>
      </c>
      <c r="Q114" s="2789">
        <v>5</v>
      </c>
      <c r="T114" s="2300"/>
      <c r="U114" s="2300"/>
    </row>
    <row r="115" spans="3:21" ht="14.1" hidden="1" customHeight="1" outlineLevel="1">
      <c r="C115" s="2774"/>
      <c r="D115" s="2775"/>
      <c r="E115" s="2777"/>
      <c r="F115" s="2769" t="s">
        <v>41</v>
      </c>
      <c r="I115" s="2789">
        <v>3.38</v>
      </c>
      <c r="J115" s="2789">
        <v>5.43</v>
      </c>
      <c r="K115" s="2789">
        <v>6.19</v>
      </c>
      <c r="L115" s="2789">
        <v>3.37</v>
      </c>
      <c r="M115" s="2789">
        <v>6.01</v>
      </c>
      <c r="N115" s="2789">
        <v>6.97</v>
      </c>
      <c r="O115" s="2789">
        <v>1.76</v>
      </c>
      <c r="P115" s="2789">
        <v>4.16</v>
      </c>
      <c r="Q115" s="2789">
        <v>4.87</v>
      </c>
      <c r="T115" s="2300"/>
      <c r="U115" s="2300"/>
    </row>
    <row r="116" spans="3:21" ht="14.1" hidden="1" customHeight="1" outlineLevel="1">
      <c r="C116" s="2774"/>
      <c r="D116" s="2775"/>
      <c r="E116" s="2772" t="s">
        <v>40</v>
      </c>
      <c r="F116" s="2769" t="s">
        <v>40</v>
      </c>
      <c r="I116" s="2789">
        <v>3.38</v>
      </c>
      <c r="J116" s="2789">
        <v>5.2</v>
      </c>
      <c r="K116" s="2789">
        <v>6.19</v>
      </c>
      <c r="L116" s="2789">
        <v>3.37</v>
      </c>
      <c r="M116" s="2789">
        <v>5.78</v>
      </c>
      <c r="N116" s="2789">
        <v>6.97</v>
      </c>
      <c r="O116" s="2789">
        <v>1.76</v>
      </c>
      <c r="P116" s="2789">
        <v>3.96</v>
      </c>
      <c r="Q116" s="2789">
        <v>4.87</v>
      </c>
      <c r="T116" s="2300"/>
      <c r="U116" s="2300"/>
    </row>
    <row r="117" spans="3:21" ht="14.1" hidden="1" customHeight="1" outlineLevel="1">
      <c r="C117" s="2774"/>
      <c r="D117" s="2775"/>
      <c r="E117" s="2776"/>
      <c r="F117" s="2769" t="s">
        <v>293</v>
      </c>
      <c r="I117" s="2789">
        <v>3.38</v>
      </c>
      <c r="J117" s="2789">
        <v>5.2</v>
      </c>
      <c r="K117" s="2789">
        <v>5.89</v>
      </c>
      <c r="L117" s="2789">
        <v>3.37</v>
      </c>
      <c r="M117" s="2789">
        <v>5.78</v>
      </c>
      <c r="N117" s="2789">
        <v>6.67</v>
      </c>
      <c r="O117" s="2789">
        <v>1.76</v>
      </c>
      <c r="P117" s="2789">
        <v>3.96</v>
      </c>
      <c r="Q117" s="2789">
        <v>4.5999999999999996</v>
      </c>
      <c r="T117" s="2300"/>
      <c r="U117" s="2300"/>
    </row>
    <row r="118" spans="3:21" ht="14.1" hidden="1" customHeight="1" outlineLevel="1">
      <c r="C118" s="2774"/>
      <c r="D118" s="2775"/>
      <c r="E118" s="2777"/>
      <c r="F118" s="2769" t="s">
        <v>41</v>
      </c>
      <c r="I118" s="2789">
        <v>3.38</v>
      </c>
      <c r="J118" s="2789">
        <v>4.9800000000000004</v>
      </c>
      <c r="K118" s="2789">
        <v>5.89</v>
      </c>
      <c r="L118" s="2789">
        <v>3.37</v>
      </c>
      <c r="M118" s="2789">
        <v>5.56</v>
      </c>
      <c r="N118" s="2789">
        <v>6.67</v>
      </c>
      <c r="O118" s="2789">
        <v>1.76</v>
      </c>
      <c r="P118" s="2789">
        <v>3.76</v>
      </c>
      <c r="Q118" s="2789">
        <v>4.5999999999999996</v>
      </c>
      <c r="T118" s="2300"/>
      <c r="U118" s="2300"/>
    </row>
    <row r="119" spans="3:21" ht="14.1" hidden="1" customHeight="1" outlineLevel="1">
      <c r="C119" s="2774"/>
      <c r="D119" s="2775"/>
      <c r="E119" s="2772" t="s">
        <v>293</v>
      </c>
      <c r="F119" s="2769" t="s">
        <v>40</v>
      </c>
      <c r="I119" s="2789">
        <v>3.38</v>
      </c>
      <c r="J119" s="2789">
        <v>4.9800000000000004</v>
      </c>
      <c r="K119" s="2789">
        <v>5.89</v>
      </c>
      <c r="L119" s="2789">
        <v>3.37</v>
      </c>
      <c r="M119" s="2789">
        <v>5.56</v>
      </c>
      <c r="N119" s="2789">
        <v>6.67</v>
      </c>
      <c r="O119" s="2789">
        <v>1.76</v>
      </c>
      <c r="P119" s="2789">
        <v>3.76</v>
      </c>
      <c r="Q119" s="2789">
        <v>4.5999999999999996</v>
      </c>
      <c r="T119" s="2300"/>
      <c r="U119" s="2300"/>
    </row>
    <row r="120" spans="3:21" ht="14.1" hidden="1" customHeight="1" outlineLevel="1">
      <c r="C120" s="2774"/>
      <c r="D120" s="2775"/>
      <c r="E120" s="2776"/>
      <c r="F120" s="2769" t="s">
        <v>293</v>
      </c>
      <c r="I120" s="2789">
        <v>3.38</v>
      </c>
      <c r="J120" s="2789">
        <v>4.9800000000000004</v>
      </c>
      <c r="K120" s="2789">
        <v>5.74</v>
      </c>
      <c r="L120" s="2789">
        <v>3.37</v>
      </c>
      <c r="M120" s="2789">
        <v>5.56</v>
      </c>
      <c r="N120" s="2789">
        <v>6.52</v>
      </c>
      <c r="O120" s="2789">
        <v>1.76</v>
      </c>
      <c r="P120" s="2789">
        <v>3.76</v>
      </c>
      <c r="Q120" s="2789">
        <v>4.47</v>
      </c>
      <c r="T120" s="2300"/>
      <c r="U120" s="2300"/>
    </row>
    <row r="121" spans="3:21" ht="14.1" hidden="1" customHeight="1" outlineLevel="1">
      <c r="C121" s="2778"/>
      <c r="D121" s="2779"/>
      <c r="E121" s="2777"/>
      <c r="F121" s="2769" t="s">
        <v>41</v>
      </c>
      <c r="I121" s="2789">
        <v>3.38</v>
      </c>
      <c r="J121" s="2789">
        <v>4.9800000000000004</v>
      </c>
      <c r="K121" s="2789">
        <v>5.74</v>
      </c>
      <c r="L121" s="2789">
        <v>3.37</v>
      </c>
      <c r="M121" s="2789">
        <v>5.56</v>
      </c>
      <c r="N121" s="2789">
        <v>6.52</v>
      </c>
      <c r="O121" s="2789">
        <v>1.76</v>
      </c>
      <c r="P121" s="2789">
        <v>3.76</v>
      </c>
      <c r="Q121" s="2789">
        <v>4.47</v>
      </c>
      <c r="T121" s="2300"/>
      <c r="U121" s="2300"/>
    </row>
    <row r="122" spans="3:21" ht="14.1" hidden="1" customHeight="1" outlineLevel="1">
      <c r="C122" s="2770" t="s">
        <v>292</v>
      </c>
      <c r="D122" s="2771"/>
      <c r="E122" s="2772" t="s">
        <v>39</v>
      </c>
      <c r="F122" s="2769" t="s">
        <v>40</v>
      </c>
      <c r="I122" s="2789">
        <v>4.29</v>
      </c>
      <c r="J122" s="2789">
        <v>5.88</v>
      </c>
      <c r="K122" s="2789">
        <v>6.79</v>
      </c>
      <c r="L122" s="2789">
        <v>4.28</v>
      </c>
      <c r="M122" s="2789">
        <v>6.46</v>
      </c>
      <c r="N122" s="2789">
        <v>7.57</v>
      </c>
      <c r="O122" s="2789">
        <v>2.5499999999999998</v>
      </c>
      <c r="P122" s="2789">
        <v>4.55</v>
      </c>
      <c r="Q122" s="2789">
        <v>5.39</v>
      </c>
      <c r="T122" s="2300"/>
      <c r="U122" s="2300"/>
    </row>
    <row r="123" spans="3:21" ht="14.1" hidden="1" customHeight="1" outlineLevel="1">
      <c r="C123" s="2774"/>
      <c r="D123" s="2775"/>
      <c r="E123" s="2776"/>
      <c r="F123" s="2769" t="s">
        <v>293</v>
      </c>
      <c r="I123" s="2789">
        <v>3.76</v>
      </c>
      <c r="J123" s="2789">
        <v>5.35</v>
      </c>
      <c r="K123" s="2789">
        <v>6.26</v>
      </c>
      <c r="L123" s="2789">
        <v>3.71</v>
      </c>
      <c r="M123" s="2789">
        <v>5.9</v>
      </c>
      <c r="N123" s="2789">
        <v>7.01</v>
      </c>
      <c r="O123" s="2789">
        <v>2.5499999999999998</v>
      </c>
      <c r="P123" s="2789">
        <v>4.55</v>
      </c>
      <c r="Q123" s="2789">
        <v>5.39</v>
      </c>
      <c r="T123" s="2300"/>
      <c r="U123" s="2300"/>
    </row>
    <row r="124" spans="3:21" ht="14.1" hidden="1" customHeight="1" outlineLevel="1">
      <c r="C124" s="2774"/>
      <c r="D124" s="2775"/>
      <c r="E124" s="2777"/>
      <c r="F124" s="2769" t="s">
        <v>41</v>
      </c>
      <c r="I124" s="2789">
        <v>3.23</v>
      </c>
      <c r="J124" s="2789">
        <v>5.35</v>
      </c>
      <c r="K124" s="2789">
        <v>6.08</v>
      </c>
      <c r="L124" s="2789">
        <v>3.15</v>
      </c>
      <c r="M124" s="2789">
        <v>5.9</v>
      </c>
      <c r="N124" s="2789">
        <v>6.82</v>
      </c>
      <c r="O124" s="2789">
        <v>2.5499999999999998</v>
      </c>
      <c r="P124" s="2789">
        <v>4.55</v>
      </c>
      <c r="Q124" s="2789">
        <v>5.39</v>
      </c>
      <c r="T124" s="2300"/>
      <c r="U124" s="2300"/>
    </row>
    <row r="125" spans="3:21" ht="14.1" hidden="1" customHeight="1" outlineLevel="1">
      <c r="C125" s="2774"/>
      <c r="D125" s="2775"/>
      <c r="E125" s="2772" t="s">
        <v>292</v>
      </c>
      <c r="F125" s="2769" t="s">
        <v>40</v>
      </c>
      <c r="I125" s="2789">
        <v>4.29</v>
      </c>
      <c r="J125" s="2789">
        <v>5.88</v>
      </c>
      <c r="K125" s="2789">
        <v>6.79</v>
      </c>
      <c r="L125" s="2789">
        <v>4.28</v>
      </c>
      <c r="M125" s="2789">
        <v>6.46</v>
      </c>
      <c r="N125" s="2789">
        <v>7.57</v>
      </c>
      <c r="O125" s="2789">
        <v>2.5499999999999998</v>
      </c>
      <c r="P125" s="2789">
        <v>4.55</v>
      </c>
      <c r="Q125" s="2789">
        <v>5.39</v>
      </c>
      <c r="T125" s="2300"/>
      <c r="U125" s="2300"/>
    </row>
    <row r="126" spans="3:21" ht="14.1" hidden="1" customHeight="1" outlineLevel="1">
      <c r="C126" s="2774"/>
      <c r="D126" s="2775"/>
      <c r="E126" s="2776"/>
      <c r="F126" s="2769" t="s">
        <v>293</v>
      </c>
      <c r="I126" s="2789">
        <v>3.3</v>
      </c>
      <c r="J126" s="2789">
        <v>4.9000000000000004</v>
      </c>
      <c r="K126" s="2789">
        <v>5.81</v>
      </c>
      <c r="L126" s="2789">
        <v>3.26</v>
      </c>
      <c r="M126" s="2789">
        <v>5.45</v>
      </c>
      <c r="N126" s="2789">
        <v>6.56</v>
      </c>
      <c r="O126" s="2789">
        <v>2.15</v>
      </c>
      <c r="P126" s="2789">
        <v>4.16</v>
      </c>
      <c r="Q126" s="2789">
        <v>5</v>
      </c>
      <c r="T126" s="2300"/>
      <c r="U126" s="2300"/>
    </row>
    <row r="127" spans="3:21" ht="14.1" hidden="1" customHeight="1" outlineLevel="1">
      <c r="C127" s="2774"/>
      <c r="D127" s="2775"/>
      <c r="E127" s="2777"/>
      <c r="F127" s="2769" t="s">
        <v>41</v>
      </c>
      <c r="I127" s="2789">
        <v>2.3199999999999998</v>
      </c>
      <c r="J127" s="2789">
        <v>4.9000000000000004</v>
      </c>
      <c r="K127" s="2789">
        <v>5.48</v>
      </c>
      <c r="L127" s="2789">
        <v>2.25</v>
      </c>
      <c r="M127" s="2789">
        <v>5.45</v>
      </c>
      <c r="N127" s="2789">
        <v>6.22</v>
      </c>
      <c r="O127" s="2789">
        <v>1.76</v>
      </c>
      <c r="P127" s="2789">
        <v>4.16</v>
      </c>
      <c r="Q127" s="2789">
        <v>4.87</v>
      </c>
      <c r="T127" s="2300"/>
      <c r="U127" s="2300"/>
    </row>
    <row r="128" spans="3:21" ht="14.1" hidden="1" customHeight="1" outlineLevel="1">
      <c r="C128" s="2774"/>
      <c r="D128" s="2775"/>
      <c r="E128" s="2772" t="s">
        <v>40</v>
      </c>
      <c r="F128" s="2769" t="s">
        <v>40</v>
      </c>
      <c r="I128" s="2789">
        <v>3.38</v>
      </c>
      <c r="J128" s="2789">
        <v>5.2</v>
      </c>
      <c r="K128" s="2789">
        <v>6.19</v>
      </c>
      <c r="L128" s="2789">
        <v>3.37</v>
      </c>
      <c r="M128" s="2789">
        <v>5.78</v>
      </c>
      <c r="N128" s="2789">
        <v>6.97</v>
      </c>
      <c r="O128" s="2789">
        <v>1.76</v>
      </c>
      <c r="P128" s="2789">
        <v>3.96</v>
      </c>
      <c r="Q128" s="2789">
        <v>4.87</v>
      </c>
      <c r="T128" s="2300"/>
      <c r="U128" s="2300"/>
    </row>
    <row r="129" spans="3:21" ht="14.1" hidden="1" customHeight="1" outlineLevel="1">
      <c r="C129" s="2774"/>
      <c r="D129" s="2775"/>
      <c r="E129" s="2776"/>
      <c r="F129" s="2769" t="s">
        <v>293</v>
      </c>
      <c r="I129" s="2789">
        <v>2.85</v>
      </c>
      <c r="J129" s="2789">
        <v>4.67</v>
      </c>
      <c r="K129" s="2789">
        <v>5.35</v>
      </c>
      <c r="L129" s="2789">
        <v>2.81</v>
      </c>
      <c r="M129" s="2789">
        <v>5.22</v>
      </c>
      <c r="N129" s="2789">
        <v>6.1</v>
      </c>
      <c r="O129" s="2789">
        <v>1.76</v>
      </c>
      <c r="P129" s="2789">
        <v>3.96</v>
      </c>
      <c r="Q129" s="2789">
        <v>4.5999999999999996</v>
      </c>
      <c r="T129" s="2300"/>
      <c r="U129" s="2300"/>
    </row>
    <row r="130" spans="3:21" ht="14.1" hidden="1" customHeight="1" outlineLevel="1">
      <c r="C130" s="2774"/>
      <c r="D130" s="2775"/>
      <c r="E130" s="2777"/>
      <c r="F130" s="2769" t="s">
        <v>41</v>
      </c>
      <c r="I130" s="2789">
        <v>2.3199999999999998</v>
      </c>
      <c r="J130" s="2789">
        <v>4.45</v>
      </c>
      <c r="K130" s="2789">
        <v>5.18</v>
      </c>
      <c r="L130" s="2789">
        <v>2.25</v>
      </c>
      <c r="M130" s="2789">
        <v>4.99</v>
      </c>
      <c r="N130" s="2789">
        <v>5.92</v>
      </c>
      <c r="O130" s="2789">
        <v>1.76</v>
      </c>
      <c r="P130" s="2789">
        <v>3.76</v>
      </c>
      <c r="Q130" s="2789">
        <v>4.5999999999999996</v>
      </c>
      <c r="T130" s="2300"/>
      <c r="U130" s="2300"/>
    </row>
    <row r="131" spans="3:21" ht="14.1" hidden="1" customHeight="1" outlineLevel="1">
      <c r="C131" s="2774"/>
      <c r="D131" s="2775"/>
      <c r="E131" s="2772" t="s">
        <v>293</v>
      </c>
      <c r="F131" s="2769" t="s">
        <v>40</v>
      </c>
      <c r="I131" s="2789">
        <v>3.38</v>
      </c>
      <c r="J131" s="2789">
        <v>4.9800000000000004</v>
      </c>
      <c r="K131" s="2789">
        <v>5.89</v>
      </c>
      <c r="L131" s="2789">
        <v>3.37</v>
      </c>
      <c r="M131" s="2789">
        <v>5.56</v>
      </c>
      <c r="N131" s="2789">
        <v>6.67</v>
      </c>
      <c r="O131" s="2789">
        <v>1.76</v>
      </c>
      <c r="P131" s="2789">
        <v>3.76</v>
      </c>
      <c r="Q131" s="2789">
        <v>4.5999999999999996</v>
      </c>
      <c r="T131" s="2300"/>
      <c r="U131" s="2300"/>
    </row>
    <row r="132" spans="3:21" ht="14.1" hidden="1" customHeight="1" outlineLevel="1">
      <c r="C132" s="2774"/>
      <c r="D132" s="2775"/>
      <c r="E132" s="2776"/>
      <c r="F132" s="2769" t="s">
        <v>293</v>
      </c>
      <c r="I132" s="2789">
        <v>2.85</v>
      </c>
      <c r="J132" s="2789">
        <v>4.45</v>
      </c>
      <c r="K132" s="2789">
        <v>5.21</v>
      </c>
      <c r="L132" s="2789">
        <v>2.81</v>
      </c>
      <c r="M132" s="2789">
        <v>4.99</v>
      </c>
      <c r="N132" s="2789">
        <v>5.95</v>
      </c>
      <c r="O132" s="2789">
        <v>1.76</v>
      </c>
      <c r="P132" s="2789">
        <v>3.76</v>
      </c>
      <c r="Q132" s="2789">
        <v>4.47</v>
      </c>
      <c r="T132" s="2300"/>
      <c r="U132" s="2300"/>
    </row>
    <row r="133" spans="3:21" ht="14.1" hidden="1" customHeight="1" outlineLevel="1">
      <c r="C133" s="2778"/>
      <c r="D133" s="2779"/>
      <c r="E133" s="2777"/>
      <c r="F133" s="2769" t="s">
        <v>41</v>
      </c>
      <c r="I133" s="2789">
        <v>2.3199999999999998</v>
      </c>
      <c r="J133" s="2789">
        <v>4.45</v>
      </c>
      <c r="K133" s="2789">
        <v>5.03</v>
      </c>
      <c r="L133" s="2789">
        <v>2.25</v>
      </c>
      <c r="M133" s="2789">
        <v>4.99</v>
      </c>
      <c r="N133" s="2789">
        <v>5.77</v>
      </c>
      <c r="O133" s="2789">
        <v>1.76</v>
      </c>
      <c r="P133" s="2789">
        <v>3.76</v>
      </c>
      <c r="Q133" s="2789">
        <v>4.47</v>
      </c>
      <c r="T133" s="2300"/>
      <c r="U133" s="2300"/>
    </row>
    <row r="134" spans="3:21" ht="14.1" hidden="1" customHeight="1" outlineLevel="1">
      <c r="C134" s="2770" t="s">
        <v>40</v>
      </c>
      <c r="D134" s="2771"/>
      <c r="E134" s="2772" t="s">
        <v>39</v>
      </c>
      <c r="F134" s="2769" t="s">
        <v>40</v>
      </c>
      <c r="I134" s="2789">
        <v>3.23</v>
      </c>
      <c r="J134" s="2789">
        <v>5.08</v>
      </c>
      <c r="K134" s="2789">
        <v>6.08</v>
      </c>
      <c r="L134" s="2789">
        <v>3.15</v>
      </c>
      <c r="M134" s="2789">
        <v>5.62</v>
      </c>
      <c r="N134" s="2789">
        <v>6.82</v>
      </c>
      <c r="O134" s="2789">
        <v>2.5499999999999998</v>
      </c>
      <c r="P134" s="2789">
        <v>4.55</v>
      </c>
      <c r="Q134" s="2789">
        <v>5.39</v>
      </c>
      <c r="T134" s="2300"/>
      <c r="U134" s="2300"/>
    </row>
    <row r="135" spans="3:21" ht="14.1" hidden="1" customHeight="1" outlineLevel="1">
      <c r="C135" s="2774"/>
      <c r="D135" s="2775"/>
      <c r="E135" s="2776"/>
      <c r="F135" s="2769" t="s">
        <v>293</v>
      </c>
      <c r="I135" s="2789">
        <v>3.23</v>
      </c>
      <c r="J135" s="2789">
        <v>5.08</v>
      </c>
      <c r="K135" s="2789">
        <v>5.73</v>
      </c>
      <c r="L135" s="2789">
        <v>3.15</v>
      </c>
      <c r="M135" s="2789">
        <v>5.62</v>
      </c>
      <c r="N135" s="2789">
        <v>6.45</v>
      </c>
      <c r="O135" s="2789">
        <v>2.5499999999999998</v>
      </c>
      <c r="P135" s="2789">
        <v>4.55</v>
      </c>
      <c r="Q135" s="2789">
        <v>5.39</v>
      </c>
      <c r="T135" s="2300"/>
      <c r="U135" s="2300"/>
    </row>
    <row r="136" spans="3:21" ht="14.1" hidden="1" customHeight="1" outlineLevel="1">
      <c r="C136" s="2774"/>
      <c r="D136" s="2775"/>
      <c r="E136" s="2777"/>
      <c r="F136" s="2769" t="s">
        <v>41</v>
      </c>
      <c r="I136" s="2789">
        <v>3.23</v>
      </c>
      <c r="J136" s="2789">
        <v>4.82</v>
      </c>
      <c r="K136" s="2789">
        <v>5.73</v>
      </c>
      <c r="L136" s="2789">
        <v>3.15</v>
      </c>
      <c r="M136" s="2789">
        <v>5.33</v>
      </c>
      <c r="N136" s="2789">
        <v>6.45</v>
      </c>
      <c r="O136" s="2789">
        <v>2.5499999999999998</v>
      </c>
      <c r="P136" s="2789">
        <v>4.55</v>
      </c>
      <c r="Q136" s="2789">
        <v>5.39</v>
      </c>
      <c r="T136" s="2300"/>
      <c r="U136" s="2300"/>
    </row>
    <row r="137" spans="3:21" ht="14.1" hidden="1" customHeight="1" outlineLevel="1">
      <c r="C137" s="2774"/>
      <c r="D137" s="2775"/>
      <c r="E137" s="2772" t="s">
        <v>292</v>
      </c>
      <c r="F137" s="2769" t="s">
        <v>40</v>
      </c>
      <c r="I137" s="2789">
        <v>3.23</v>
      </c>
      <c r="J137" s="2789">
        <v>5.08</v>
      </c>
      <c r="K137" s="2789">
        <v>6.08</v>
      </c>
      <c r="L137" s="2789">
        <v>3.15</v>
      </c>
      <c r="M137" s="2789">
        <v>5.62</v>
      </c>
      <c r="N137" s="2789">
        <v>6.82</v>
      </c>
      <c r="O137" s="2789">
        <v>2.5499999999999998</v>
      </c>
      <c r="P137" s="2789">
        <v>4.55</v>
      </c>
      <c r="Q137" s="2789">
        <v>5.39</v>
      </c>
      <c r="T137" s="2300"/>
      <c r="U137" s="2300"/>
    </row>
    <row r="138" spans="3:21" ht="14.1" hidden="1" customHeight="1" outlineLevel="1">
      <c r="C138" s="2774"/>
      <c r="D138" s="2775"/>
      <c r="E138" s="2776"/>
      <c r="F138" s="2769" t="s">
        <v>293</v>
      </c>
      <c r="I138" s="2789">
        <v>2.77</v>
      </c>
      <c r="J138" s="2789">
        <v>4.63</v>
      </c>
      <c r="K138" s="2789">
        <v>5.28</v>
      </c>
      <c r="L138" s="2789">
        <v>2.7</v>
      </c>
      <c r="M138" s="2789">
        <v>5.16</v>
      </c>
      <c r="N138" s="2789">
        <v>5.99</v>
      </c>
      <c r="O138" s="2789">
        <v>2.15</v>
      </c>
      <c r="P138" s="2789">
        <v>4.16</v>
      </c>
      <c r="Q138" s="2789">
        <v>5</v>
      </c>
      <c r="T138" s="2300"/>
      <c r="U138" s="2300"/>
    </row>
    <row r="139" spans="3:21" ht="14.1" hidden="1" customHeight="1" outlineLevel="1">
      <c r="C139" s="2774"/>
      <c r="D139" s="2775"/>
      <c r="E139" s="2777"/>
      <c r="F139" s="2769" t="s">
        <v>41</v>
      </c>
      <c r="I139" s="2789">
        <v>2.3199999999999998</v>
      </c>
      <c r="J139" s="2789">
        <v>4.37</v>
      </c>
      <c r="K139" s="2789">
        <v>5.12</v>
      </c>
      <c r="L139" s="2789">
        <v>2.25</v>
      </c>
      <c r="M139" s="2789">
        <v>4.88</v>
      </c>
      <c r="N139" s="2789">
        <v>5.84</v>
      </c>
      <c r="O139" s="2789">
        <v>1.76</v>
      </c>
      <c r="P139" s="2789">
        <v>4.16</v>
      </c>
      <c r="Q139" s="2789">
        <v>4.87</v>
      </c>
      <c r="T139" s="2300"/>
      <c r="U139" s="2300"/>
    </row>
    <row r="140" spans="3:21" ht="14.1" hidden="1" customHeight="1" outlineLevel="1">
      <c r="C140" s="2774"/>
      <c r="D140" s="2775"/>
      <c r="E140" s="2772" t="s">
        <v>40</v>
      </c>
      <c r="F140" s="2769" t="s">
        <v>40</v>
      </c>
      <c r="I140" s="2789">
        <v>2.3199999999999998</v>
      </c>
      <c r="J140" s="2789">
        <v>4.41</v>
      </c>
      <c r="K140" s="2789">
        <v>5.48</v>
      </c>
      <c r="L140" s="2789">
        <v>2.25</v>
      </c>
      <c r="M140" s="2789">
        <v>4.9400000000000004</v>
      </c>
      <c r="N140" s="2789">
        <v>6.22</v>
      </c>
      <c r="O140" s="2789">
        <v>1.76</v>
      </c>
      <c r="P140" s="2789">
        <v>3.96</v>
      </c>
      <c r="Q140" s="2789">
        <v>4.87</v>
      </c>
      <c r="T140" s="2300"/>
      <c r="U140" s="2300"/>
    </row>
    <row r="141" spans="3:21" ht="14.1" hidden="1" customHeight="1" outlineLevel="1">
      <c r="C141" s="2774"/>
      <c r="D141" s="2775"/>
      <c r="E141" s="2776"/>
      <c r="F141" s="2769" t="s">
        <v>293</v>
      </c>
      <c r="I141" s="2789">
        <v>2.3199999999999998</v>
      </c>
      <c r="J141" s="2789">
        <v>4.41</v>
      </c>
      <c r="K141" s="2789">
        <v>4.82</v>
      </c>
      <c r="L141" s="2789">
        <v>2.25</v>
      </c>
      <c r="M141" s="2789">
        <v>4.9400000000000004</v>
      </c>
      <c r="N141" s="2789">
        <v>5.54</v>
      </c>
      <c r="O141" s="2789">
        <v>1.76</v>
      </c>
      <c r="P141" s="2789">
        <v>3.96</v>
      </c>
      <c r="Q141" s="2789">
        <v>4.5999999999999996</v>
      </c>
      <c r="T141" s="2300"/>
      <c r="U141" s="2300"/>
    </row>
    <row r="142" spans="3:21" ht="14.1" hidden="1" customHeight="1" outlineLevel="1">
      <c r="C142" s="2774"/>
      <c r="D142" s="2775"/>
      <c r="E142" s="2777"/>
      <c r="F142" s="2769" t="s">
        <v>41</v>
      </c>
      <c r="I142" s="2789">
        <v>2.3199999999999998</v>
      </c>
      <c r="J142" s="2789">
        <v>3.91</v>
      </c>
      <c r="K142" s="2789">
        <v>4.82</v>
      </c>
      <c r="L142" s="2789">
        <v>2.25</v>
      </c>
      <c r="M142" s="2789">
        <v>4.43</v>
      </c>
      <c r="N142" s="2789">
        <v>5.54</v>
      </c>
      <c r="O142" s="2789">
        <v>1.76</v>
      </c>
      <c r="P142" s="2789">
        <v>3.76</v>
      </c>
      <c r="Q142" s="2789">
        <v>4.5999999999999996</v>
      </c>
      <c r="T142" s="2300"/>
      <c r="U142" s="2300"/>
    </row>
    <row r="143" spans="3:21" ht="14.1" hidden="1" customHeight="1" outlineLevel="1">
      <c r="C143" s="2774"/>
      <c r="D143" s="2775"/>
      <c r="E143" s="2772" t="s">
        <v>293</v>
      </c>
      <c r="F143" s="2769" t="s">
        <v>40</v>
      </c>
      <c r="I143" s="2789">
        <v>2.3199999999999998</v>
      </c>
      <c r="J143" s="2789">
        <v>4.18</v>
      </c>
      <c r="K143" s="2789">
        <v>5.18</v>
      </c>
      <c r="L143" s="2789">
        <v>2.25</v>
      </c>
      <c r="M143" s="2789">
        <v>4.71</v>
      </c>
      <c r="N143" s="2789">
        <v>5.92</v>
      </c>
      <c r="O143" s="2789">
        <v>1.76</v>
      </c>
      <c r="P143" s="2789">
        <v>3.76</v>
      </c>
      <c r="Q143" s="2789">
        <v>4.5999999999999996</v>
      </c>
      <c r="T143" s="2300"/>
      <c r="U143" s="2300"/>
    </row>
    <row r="144" spans="3:21" ht="14.1" hidden="1" customHeight="1" outlineLevel="1">
      <c r="C144" s="2774"/>
      <c r="D144" s="2775"/>
      <c r="E144" s="2776"/>
      <c r="F144" s="2769" t="s">
        <v>293</v>
      </c>
      <c r="I144" s="2789">
        <v>2.3199999999999998</v>
      </c>
      <c r="J144" s="2789">
        <v>4.18</v>
      </c>
      <c r="K144" s="2789">
        <v>4.67</v>
      </c>
      <c r="L144" s="2789">
        <v>2.25</v>
      </c>
      <c r="M144" s="2789">
        <v>4.71</v>
      </c>
      <c r="N144" s="2789">
        <v>5.39</v>
      </c>
      <c r="O144" s="2789">
        <v>1.76</v>
      </c>
      <c r="P144" s="2789">
        <v>3.76</v>
      </c>
      <c r="Q144" s="2789">
        <v>4.47</v>
      </c>
      <c r="T144" s="2300"/>
      <c r="U144" s="2300"/>
    </row>
    <row r="145" spans="3:21" ht="14.1" hidden="1" customHeight="1" outlineLevel="1">
      <c r="C145" s="2778"/>
      <c r="D145" s="2779"/>
      <c r="E145" s="2777"/>
      <c r="F145" s="2769" t="s">
        <v>41</v>
      </c>
      <c r="I145" s="2789">
        <v>2.3199999999999998</v>
      </c>
      <c r="J145" s="2789">
        <v>3.91</v>
      </c>
      <c r="K145" s="2789">
        <v>4.67</v>
      </c>
      <c r="L145" s="2789">
        <v>2.25</v>
      </c>
      <c r="M145" s="2789">
        <v>4.43</v>
      </c>
      <c r="N145" s="2789">
        <v>5.39</v>
      </c>
      <c r="O145" s="2789">
        <v>1.76</v>
      </c>
      <c r="P145" s="2789">
        <v>3.76</v>
      </c>
      <c r="Q145" s="2789">
        <v>4.47</v>
      </c>
      <c r="T145" s="2300"/>
      <c r="U145" s="2300"/>
    </row>
    <row r="146" spans="3:21" ht="14.1" hidden="1" customHeight="1" outlineLevel="1">
      <c r="C146" s="2770" t="s">
        <v>293</v>
      </c>
      <c r="D146" s="2771"/>
      <c r="E146" s="2772" t="s">
        <v>39</v>
      </c>
      <c r="F146" s="2769" t="s">
        <v>40</v>
      </c>
      <c r="I146" s="2789">
        <v>3.23</v>
      </c>
      <c r="J146" s="2789">
        <v>4.82</v>
      </c>
      <c r="K146" s="2789">
        <v>5.73</v>
      </c>
      <c r="L146" s="2789">
        <v>3.15</v>
      </c>
      <c r="M146" s="2789">
        <v>5.33</v>
      </c>
      <c r="N146" s="2789">
        <v>6.45</v>
      </c>
      <c r="O146" s="2789">
        <v>2.5499999999999998</v>
      </c>
      <c r="P146" s="2789">
        <v>4.55</v>
      </c>
      <c r="Q146" s="2789">
        <v>5.39</v>
      </c>
      <c r="T146" s="2300"/>
      <c r="U146" s="2300"/>
    </row>
    <row r="147" spans="3:21" ht="14.1" hidden="1" customHeight="1" outlineLevel="1">
      <c r="C147" s="2774"/>
      <c r="D147" s="2775"/>
      <c r="E147" s="2776"/>
      <c r="F147" s="2769" t="s">
        <v>293</v>
      </c>
      <c r="I147" s="2789">
        <v>3.23</v>
      </c>
      <c r="J147" s="2789">
        <v>4.82</v>
      </c>
      <c r="K147" s="2789">
        <v>5.55</v>
      </c>
      <c r="L147" s="2789">
        <v>3.15</v>
      </c>
      <c r="M147" s="2789">
        <v>5.33</v>
      </c>
      <c r="N147" s="2789">
        <v>6.26</v>
      </c>
      <c r="O147" s="2789">
        <v>2.5499999999999998</v>
      </c>
      <c r="P147" s="2789">
        <v>4.55</v>
      </c>
      <c r="Q147" s="2789">
        <v>5.39</v>
      </c>
      <c r="T147" s="2300"/>
      <c r="U147" s="2300"/>
    </row>
    <row r="148" spans="3:21" ht="14.1" hidden="1" customHeight="1" outlineLevel="1">
      <c r="C148" s="2774"/>
      <c r="D148" s="2775"/>
      <c r="E148" s="2777"/>
      <c r="F148" s="2769" t="s">
        <v>41</v>
      </c>
      <c r="I148" s="2789">
        <v>3.23</v>
      </c>
      <c r="J148" s="2789">
        <v>4.82</v>
      </c>
      <c r="K148" s="2789">
        <v>5.55</v>
      </c>
      <c r="L148" s="2789">
        <v>3.15</v>
      </c>
      <c r="M148" s="2789">
        <v>5.33</v>
      </c>
      <c r="N148" s="2789">
        <v>6.26</v>
      </c>
      <c r="O148" s="2789">
        <v>2.5499999999999998</v>
      </c>
      <c r="P148" s="2789">
        <v>4.55</v>
      </c>
      <c r="Q148" s="2789">
        <v>5.39</v>
      </c>
      <c r="T148" s="2300"/>
      <c r="U148" s="2300"/>
    </row>
    <row r="149" spans="3:21" ht="14.1" hidden="1" customHeight="1" outlineLevel="1">
      <c r="C149" s="2774"/>
      <c r="D149" s="2775"/>
      <c r="E149" s="2772" t="s">
        <v>292</v>
      </c>
      <c r="F149" s="2769" t="s">
        <v>40</v>
      </c>
      <c r="I149" s="2789">
        <v>3.23</v>
      </c>
      <c r="J149" s="2789">
        <v>4.82</v>
      </c>
      <c r="K149" s="2789">
        <v>5.73</v>
      </c>
      <c r="L149" s="2789">
        <v>3.15</v>
      </c>
      <c r="M149" s="2789">
        <v>5.33</v>
      </c>
      <c r="N149" s="2789">
        <v>6.45</v>
      </c>
      <c r="O149" s="2789">
        <v>2.5499999999999998</v>
      </c>
      <c r="P149" s="2789">
        <v>4.55</v>
      </c>
      <c r="Q149" s="2789">
        <v>5.39</v>
      </c>
      <c r="T149" s="2300"/>
      <c r="U149" s="2300"/>
    </row>
    <row r="150" spans="3:21" ht="14.1" hidden="1" customHeight="1" outlineLevel="1">
      <c r="C150" s="2774"/>
      <c r="D150" s="2775"/>
      <c r="E150" s="2776"/>
      <c r="F150" s="2769" t="s">
        <v>293</v>
      </c>
      <c r="I150" s="2789">
        <v>2.77</v>
      </c>
      <c r="J150" s="2789">
        <v>4.37</v>
      </c>
      <c r="K150" s="2789">
        <v>5.0999999999999996</v>
      </c>
      <c r="L150" s="2789">
        <v>2.7</v>
      </c>
      <c r="M150" s="2789">
        <v>4.88</v>
      </c>
      <c r="N150" s="2789">
        <v>5.81</v>
      </c>
      <c r="O150" s="2789">
        <v>2.15</v>
      </c>
      <c r="P150" s="2789">
        <v>4.16</v>
      </c>
      <c r="Q150" s="2789">
        <v>5</v>
      </c>
      <c r="T150" s="2300"/>
      <c r="U150" s="2300"/>
    </row>
    <row r="151" spans="3:21" ht="14.1" hidden="1" customHeight="1" outlineLevel="1">
      <c r="C151" s="2774"/>
      <c r="D151" s="2775"/>
      <c r="E151" s="2777"/>
      <c r="F151" s="2769" t="s">
        <v>41</v>
      </c>
      <c r="I151" s="2789">
        <v>2.3199999999999998</v>
      </c>
      <c r="J151" s="2789">
        <v>4.37</v>
      </c>
      <c r="K151" s="2789">
        <v>4.95</v>
      </c>
      <c r="L151" s="2789">
        <v>2.25</v>
      </c>
      <c r="M151" s="2789">
        <v>4.88</v>
      </c>
      <c r="N151" s="2789">
        <v>5.66</v>
      </c>
      <c r="O151" s="2789">
        <v>1.76</v>
      </c>
      <c r="P151" s="2789">
        <v>4.16</v>
      </c>
      <c r="Q151" s="2789">
        <v>4.87</v>
      </c>
      <c r="T151" s="2300"/>
      <c r="U151" s="2300"/>
    </row>
    <row r="152" spans="3:21" ht="14.1" hidden="1" customHeight="1" outlineLevel="1">
      <c r="C152" s="2774"/>
      <c r="D152" s="2775"/>
      <c r="E152" s="2772" t="s">
        <v>40</v>
      </c>
      <c r="F152" s="2769" t="s">
        <v>40</v>
      </c>
      <c r="I152" s="2789">
        <v>2.3199999999999998</v>
      </c>
      <c r="J152" s="2789">
        <v>4.1399999999999997</v>
      </c>
      <c r="K152" s="2789">
        <v>5.12</v>
      </c>
      <c r="L152" s="2789">
        <v>2.25</v>
      </c>
      <c r="M152" s="2789">
        <v>4.66</v>
      </c>
      <c r="N152" s="2789">
        <v>5.84</v>
      </c>
      <c r="O152" s="2789">
        <v>1.76</v>
      </c>
      <c r="P152" s="2789">
        <v>3.96</v>
      </c>
      <c r="Q152" s="2789">
        <v>4.87</v>
      </c>
      <c r="T152" s="2300"/>
      <c r="U152" s="2300"/>
    </row>
    <row r="153" spans="3:21" ht="14.1" hidden="1" customHeight="1" outlineLevel="1">
      <c r="C153" s="2774"/>
      <c r="D153" s="2775"/>
      <c r="E153" s="2776"/>
      <c r="F153" s="2769" t="s">
        <v>293</v>
      </c>
      <c r="I153" s="2789">
        <v>2.3199999999999998</v>
      </c>
      <c r="J153" s="2789">
        <v>4.1399999999999997</v>
      </c>
      <c r="K153" s="2789">
        <v>4.6500000000000004</v>
      </c>
      <c r="L153" s="2789">
        <v>2.25</v>
      </c>
      <c r="M153" s="2789">
        <v>4.66</v>
      </c>
      <c r="N153" s="2789">
        <v>5.35</v>
      </c>
      <c r="O153" s="2789">
        <v>1.76</v>
      </c>
      <c r="P153" s="2789">
        <v>3.96</v>
      </c>
      <c r="Q153" s="2789">
        <v>4.5999999999999996</v>
      </c>
      <c r="T153" s="2300"/>
      <c r="U153" s="2300"/>
    </row>
    <row r="154" spans="3:21" ht="14.1" hidden="1" customHeight="1" outlineLevel="1">
      <c r="C154" s="2774"/>
      <c r="D154" s="2775"/>
      <c r="E154" s="2777"/>
      <c r="F154" s="2769" t="s">
        <v>41</v>
      </c>
      <c r="I154" s="2789">
        <v>2.3199999999999998</v>
      </c>
      <c r="J154" s="2789">
        <v>3.91</v>
      </c>
      <c r="K154" s="2789">
        <v>4.6500000000000004</v>
      </c>
      <c r="L154" s="2789">
        <v>2.25</v>
      </c>
      <c r="M154" s="2789">
        <v>4.43</v>
      </c>
      <c r="N154" s="2789">
        <v>5.35</v>
      </c>
      <c r="O154" s="2789">
        <v>1.76</v>
      </c>
      <c r="P154" s="2789">
        <v>3.76</v>
      </c>
      <c r="Q154" s="2789">
        <v>4.5999999999999996</v>
      </c>
      <c r="T154" s="2300"/>
      <c r="U154" s="2300"/>
    </row>
    <row r="155" spans="3:21" ht="14.1" hidden="1" customHeight="1" outlineLevel="1">
      <c r="C155" s="2774"/>
      <c r="D155" s="2775"/>
      <c r="E155" s="2772" t="s">
        <v>293</v>
      </c>
      <c r="F155" s="2769" t="s">
        <v>40</v>
      </c>
      <c r="I155" s="2789">
        <v>2.3199999999999998</v>
      </c>
      <c r="J155" s="2789">
        <v>3.91</v>
      </c>
      <c r="K155" s="2789">
        <v>4.82</v>
      </c>
      <c r="L155" s="2789">
        <v>2.25</v>
      </c>
      <c r="M155" s="2789">
        <v>4.43</v>
      </c>
      <c r="N155" s="2789">
        <v>5.54</v>
      </c>
      <c r="O155" s="2789">
        <v>1.76</v>
      </c>
      <c r="P155" s="2789">
        <v>3.76</v>
      </c>
      <c r="Q155" s="2789">
        <v>4.5999999999999996</v>
      </c>
      <c r="T155" s="2300"/>
      <c r="U155" s="2300"/>
    </row>
    <row r="156" spans="3:21" ht="14.1" hidden="1" customHeight="1" outlineLevel="1">
      <c r="C156" s="2774"/>
      <c r="D156" s="2775"/>
      <c r="E156" s="2776"/>
      <c r="F156" s="2769" t="s">
        <v>293</v>
      </c>
      <c r="I156" s="2789">
        <v>2.3199999999999998</v>
      </c>
      <c r="J156" s="2789">
        <v>3.91</v>
      </c>
      <c r="K156" s="2789">
        <v>4.5</v>
      </c>
      <c r="L156" s="2789">
        <v>2.25</v>
      </c>
      <c r="M156" s="2789">
        <v>4.43</v>
      </c>
      <c r="N156" s="2789">
        <v>5.21</v>
      </c>
      <c r="O156" s="2789">
        <v>1.76</v>
      </c>
      <c r="P156" s="2789">
        <v>3.76</v>
      </c>
      <c r="Q156" s="2789">
        <v>4.47</v>
      </c>
      <c r="T156" s="2300"/>
      <c r="U156" s="2300"/>
    </row>
    <row r="157" spans="3:21" ht="14.1" hidden="1" customHeight="1" outlineLevel="1">
      <c r="C157" s="2778"/>
      <c r="D157" s="2779"/>
      <c r="E157" s="2777"/>
      <c r="F157" s="2769" t="s">
        <v>41</v>
      </c>
      <c r="I157" s="2789">
        <v>2.3199999999999998</v>
      </c>
      <c r="J157" s="2789">
        <v>3.91</v>
      </c>
      <c r="K157" s="2789">
        <v>4.5</v>
      </c>
      <c r="L157" s="2789">
        <v>2.25</v>
      </c>
      <c r="M157" s="2789">
        <v>4.43</v>
      </c>
      <c r="N157" s="2789">
        <v>5.21</v>
      </c>
      <c r="O157" s="2789">
        <v>1.76</v>
      </c>
      <c r="P157" s="2789">
        <v>3.76</v>
      </c>
      <c r="Q157" s="2789">
        <v>4.47</v>
      </c>
      <c r="T157" s="2300"/>
      <c r="U157" s="2300"/>
    </row>
    <row r="158" spans="3:21" ht="14.1" hidden="1" customHeight="1" outlineLevel="1">
      <c r="T158" s="2300"/>
      <c r="U158" s="2300"/>
    </row>
    <row r="159" spans="3:21" ht="14.1" hidden="1" customHeight="1" outlineLevel="1">
      <c r="C159" s="2291" t="s">
        <v>2172</v>
      </c>
      <c r="D159" s="2291"/>
      <c r="I159" s="2292" t="s">
        <v>2171</v>
      </c>
      <c r="J159" s="2781"/>
      <c r="K159" s="2781"/>
      <c r="L159" s="2782"/>
      <c r="M159" s="2782"/>
      <c r="N159" s="2782"/>
      <c r="O159" s="2782"/>
      <c r="P159" s="2782"/>
      <c r="Q159" s="2783"/>
      <c r="T159" s="2300"/>
      <c r="U159" s="2300"/>
    </row>
    <row r="160" spans="3:21" ht="14.1" hidden="1" customHeight="1" outlineLevel="1">
      <c r="C160" s="2296"/>
      <c r="D160" s="2296"/>
      <c r="E160" s="2296"/>
      <c r="F160" s="2170" t="s">
        <v>715</v>
      </c>
      <c r="I160" s="2784" t="s">
        <v>1060</v>
      </c>
      <c r="J160" s="2782"/>
      <c r="K160" s="2785"/>
      <c r="L160" s="2784" t="s">
        <v>1061</v>
      </c>
      <c r="M160" s="2782"/>
      <c r="N160" s="2785"/>
      <c r="O160" s="2784" t="s">
        <v>1062</v>
      </c>
      <c r="P160" s="2782"/>
      <c r="Q160" s="2785"/>
      <c r="T160" s="2300"/>
      <c r="U160" s="2300"/>
    </row>
    <row r="161" spans="3:21" ht="14.1" hidden="1" customHeight="1" outlineLevel="1">
      <c r="C161" s="2765" t="s">
        <v>2167</v>
      </c>
      <c r="D161" s="2766"/>
      <c r="E161" s="2767" t="s">
        <v>2168</v>
      </c>
      <c r="F161" s="2768" t="s">
        <v>2169</v>
      </c>
      <c r="I161" s="2786" t="s">
        <v>1001</v>
      </c>
      <c r="J161" s="2786" t="s">
        <v>1063</v>
      </c>
      <c r="K161" s="2786" t="s">
        <v>1064</v>
      </c>
      <c r="L161" s="2786" t="s">
        <v>1001</v>
      </c>
      <c r="M161" s="2786" t="s">
        <v>1063</v>
      </c>
      <c r="N161" s="2786" t="s">
        <v>1064</v>
      </c>
      <c r="O161" s="2786" t="s">
        <v>1001</v>
      </c>
      <c r="P161" s="2786" t="s">
        <v>1063</v>
      </c>
      <c r="Q161" s="2786" t="s">
        <v>1064</v>
      </c>
      <c r="T161" s="2300"/>
      <c r="U161" s="2300"/>
    </row>
    <row r="162" spans="3:21" ht="14.1" hidden="1" customHeight="1" outlineLevel="1">
      <c r="C162" s="2770" t="s">
        <v>39</v>
      </c>
      <c r="D162" s="2771"/>
      <c r="E162" s="2772" t="s">
        <v>39</v>
      </c>
      <c r="F162" s="2769" t="s">
        <v>40</v>
      </c>
      <c r="I162" s="2789">
        <v>0.59</v>
      </c>
      <c r="J162" s="2789">
        <v>0.39</v>
      </c>
      <c r="K162" s="2789">
        <v>0.34</v>
      </c>
      <c r="L162" s="2789">
        <v>0.85</v>
      </c>
      <c r="M162" s="2789">
        <v>0.52</v>
      </c>
      <c r="N162" s="2789">
        <v>0.43</v>
      </c>
      <c r="O162" s="2789">
        <v>1.37</v>
      </c>
      <c r="P162" s="2789">
        <v>0.73</v>
      </c>
      <c r="Q162" s="2789">
        <v>0.53</v>
      </c>
      <c r="T162" s="2300"/>
      <c r="U162" s="2300"/>
    </row>
    <row r="163" spans="3:21" ht="14.1" hidden="1" customHeight="1" outlineLevel="1">
      <c r="C163" s="2774"/>
      <c r="D163" s="2775"/>
      <c r="E163" s="2776"/>
      <c r="F163" s="2769" t="s">
        <v>293</v>
      </c>
      <c r="I163" s="2789">
        <v>0.59</v>
      </c>
      <c r="J163" s="2789">
        <v>0.39</v>
      </c>
      <c r="K163" s="2789">
        <v>0.34</v>
      </c>
      <c r="L163" s="2789">
        <v>0.85</v>
      </c>
      <c r="M163" s="2789">
        <v>0.52</v>
      </c>
      <c r="N163" s="2789">
        <v>0.43</v>
      </c>
      <c r="O163" s="2789">
        <v>1.37</v>
      </c>
      <c r="P163" s="2789">
        <v>0.73</v>
      </c>
      <c r="Q163" s="2789">
        <v>0.53</v>
      </c>
      <c r="T163" s="2300"/>
      <c r="U163" s="2300"/>
    </row>
    <row r="164" spans="3:21" ht="14.1" hidden="1" customHeight="1" outlineLevel="1">
      <c r="C164" s="2774"/>
      <c r="D164" s="2775"/>
      <c r="E164" s="2777"/>
      <c r="F164" s="2769" t="s">
        <v>41</v>
      </c>
      <c r="I164" s="2789">
        <v>0.59</v>
      </c>
      <c r="J164" s="2789">
        <v>0.39</v>
      </c>
      <c r="K164" s="2789">
        <v>0.34</v>
      </c>
      <c r="L164" s="2789">
        <v>0.85</v>
      </c>
      <c r="M164" s="2789">
        <v>0.52</v>
      </c>
      <c r="N164" s="2789">
        <v>0.43</v>
      </c>
      <c r="O164" s="2789">
        <v>1.37</v>
      </c>
      <c r="P164" s="2789">
        <v>0.73</v>
      </c>
      <c r="Q164" s="2789">
        <v>0.53</v>
      </c>
      <c r="T164" s="2300"/>
      <c r="U164" s="2300"/>
    </row>
    <row r="165" spans="3:21" ht="14.1" hidden="1" customHeight="1" outlineLevel="1">
      <c r="C165" s="2774"/>
      <c r="D165" s="2775"/>
      <c r="E165" s="2772" t="s">
        <v>292</v>
      </c>
      <c r="F165" s="2769" t="s">
        <v>40</v>
      </c>
      <c r="I165" s="2789">
        <v>0.59</v>
      </c>
      <c r="J165" s="2789">
        <v>0.39</v>
      </c>
      <c r="K165" s="2789">
        <v>0.34</v>
      </c>
      <c r="L165" s="2789">
        <v>0.85</v>
      </c>
      <c r="M165" s="2789">
        <v>0.52</v>
      </c>
      <c r="N165" s="2789">
        <v>0.43</v>
      </c>
      <c r="O165" s="2789">
        <v>1.37</v>
      </c>
      <c r="P165" s="2789">
        <v>0.73</v>
      </c>
      <c r="Q165" s="2789">
        <v>0.53</v>
      </c>
      <c r="T165" s="2300"/>
      <c r="U165" s="2300"/>
    </row>
    <row r="166" spans="3:21" ht="14.1" hidden="1" customHeight="1" outlineLevel="1">
      <c r="C166" s="2774"/>
      <c r="D166" s="2775"/>
      <c r="E166" s="2776"/>
      <c r="F166" s="2769" t="s">
        <v>293</v>
      </c>
      <c r="I166" s="2789">
        <v>0.56999999999999995</v>
      </c>
      <c r="J166" s="2789">
        <v>0.37</v>
      </c>
      <c r="K166" s="2789">
        <v>0.32</v>
      </c>
      <c r="L166" s="2789">
        <v>0.82</v>
      </c>
      <c r="M166" s="2789">
        <v>0.5</v>
      </c>
      <c r="N166" s="2789">
        <v>0.41</v>
      </c>
      <c r="O166" s="2789">
        <v>1.37</v>
      </c>
      <c r="P166" s="2789">
        <v>0.73</v>
      </c>
      <c r="Q166" s="2789">
        <v>0.53</v>
      </c>
      <c r="T166" s="2300"/>
      <c r="U166" s="2300"/>
    </row>
    <row r="167" spans="3:21" ht="14.1" hidden="1" customHeight="1" outlineLevel="1">
      <c r="C167" s="2774"/>
      <c r="D167" s="2775"/>
      <c r="E167" s="2777"/>
      <c r="F167" s="2769" t="s">
        <v>41</v>
      </c>
      <c r="I167" s="2789">
        <v>0.54</v>
      </c>
      <c r="J167" s="2789">
        <v>0.37</v>
      </c>
      <c r="K167" s="2789">
        <v>0.31</v>
      </c>
      <c r="L167" s="2789">
        <v>0.8</v>
      </c>
      <c r="M167" s="2789">
        <v>0.5</v>
      </c>
      <c r="N167" s="2789">
        <v>0.4</v>
      </c>
      <c r="O167" s="2789">
        <v>1.36</v>
      </c>
      <c r="P167" s="2789">
        <v>0.73</v>
      </c>
      <c r="Q167" s="2789">
        <v>0.53</v>
      </c>
      <c r="T167" s="2300"/>
      <c r="U167" s="2300"/>
    </row>
    <row r="168" spans="3:21" ht="14.1" hidden="1" customHeight="1" outlineLevel="1">
      <c r="C168" s="2774"/>
      <c r="D168" s="2775"/>
      <c r="E168" s="2772" t="s">
        <v>40</v>
      </c>
      <c r="F168" s="2769" t="s">
        <v>40</v>
      </c>
      <c r="I168" s="2789">
        <v>0.54</v>
      </c>
      <c r="J168" s="2789">
        <v>0.36</v>
      </c>
      <c r="K168" s="2789">
        <v>0.31</v>
      </c>
      <c r="L168" s="2789">
        <v>0.8</v>
      </c>
      <c r="M168" s="2789">
        <v>0.49</v>
      </c>
      <c r="N168" s="2789">
        <v>0.4</v>
      </c>
      <c r="O168" s="2789">
        <v>1.36</v>
      </c>
      <c r="P168" s="2789">
        <v>0.73</v>
      </c>
      <c r="Q168" s="2789">
        <v>0.53</v>
      </c>
      <c r="T168" s="2300"/>
      <c r="U168" s="2300"/>
    </row>
    <row r="169" spans="3:21" ht="14.1" hidden="1" customHeight="1" outlineLevel="1">
      <c r="C169" s="2774"/>
      <c r="D169" s="2775"/>
      <c r="E169" s="2776"/>
      <c r="F169" s="2769" t="s">
        <v>293</v>
      </c>
      <c r="I169" s="2789">
        <v>0.54</v>
      </c>
      <c r="J169" s="2789">
        <v>0.36</v>
      </c>
      <c r="K169" s="2789">
        <v>0.3</v>
      </c>
      <c r="L169" s="2789">
        <v>0.8</v>
      </c>
      <c r="M169" s="2789">
        <v>0.49</v>
      </c>
      <c r="N169" s="2789">
        <v>0.38</v>
      </c>
      <c r="O169" s="2789">
        <v>1.36</v>
      </c>
      <c r="P169" s="2789">
        <v>0.73</v>
      </c>
      <c r="Q169" s="2789">
        <v>0.52</v>
      </c>
      <c r="T169" s="2300"/>
      <c r="U169" s="2300"/>
    </row>
    <row r="170" spans="3:21" ht="14.1" hidden="1" customHeight="1" outlineLevel="1">
      <c r="C170" s="2774"/>
      <c r="D170" s="2775"/>
      <c r="E170" s="2777"/>
      <c r="F170" s="2769" t="s">
        <v>41</v>
      </c>
      <c r="I170" s="2789">
        <v>0.54</v>
      </c>
      <c r="J170" s="2789">
        <v>0.35</v>
      </c>
      <c r="K170" s="2789">
        <v>0.3</v>
      </c>
      <c r="L170" s="2789">
        <v>0.8</v>
      </c>
      <c r="M170" s="2789">
        <v>0.48</v>
      </c>
      <c r="N170" s="2789">
        <v>0.38</v>
      </c>
      <c r="O170" s="2789">
        <v>1.36</v>
      </c>
      <c r="P170" s="2789">
        <v>0.73</v>
      </c>
      <c r="Q170" s="2789">
        <v>0.52</v>
      </c>
      <c r="T170" s="2300"/>
      <c r="U170" s="2300"/>
    </row>
    <row r="171" spans="3:21" ht="14.1" hidden="1" customHeight="1" outlineLevel="1">
      <c r="C171" s="2774"/>
      <c r="D171" s="2775"/>
      <c r="E171" s="2772" t="s">
        <v>293</v>
      </c>
      <c r="F171" s="2769" t="s">
        <v>40</v>
      </c>
      <c r="I171" s="2789">
        <v>0.54</v>
      </c>
      <c r="J171" s="2789">
        <v>0.35</v>
      </c>
      <c r="K171" s="2789">
        <v>0.3</v>
      </c>
      <c r="L171" s="2789">
        <v>0.8</v>
      </c>
      <c r="M171" s="2789">
        <v>0.48</v>
      </c>
      <c r="N171" s="2789">
        <v>0.38</v>
      </c>
      <c r="O171" s="2789">
        <v>1.36</v>
      </c>
      <c r="P171" s="2789">
        <v>0.73</v>
      </c>
      <c r="Q171" s="2789">
        <v>0.52</v>
      </c>
      <c r="T171" s="2300"/>
      <c r="U171" s="2300"/>
    </row>
    <row r="172" spans="3:21" ht="14.1" hidden="1" customHeight="1" outlineLevel="1">
      <c r="C172" s="2774"/>
      <c r="D172" s="2775"/>
      <c r="E172" s="2776"/>
      <c r="F172" s="2769" t="s">
        <v>293</v>
      </c>
      <c r="I172" s="2789">
        <v>0.54</v>
      </c>
      <c r="J172" s="2789">
        <v>0.35</v>
      </c>
      <c r="K172" s="2789">
        <v>0.28999999999999998</v>
      </c>
      <c r="L172" s="2789">
        <v>0.8</v>
      </c>
      <c r="M172" s="2789">
        <v>0.48</v>
      </c>
      <c r="N172" s="2789">
        <v>0.38</v>
      </c>
      <c r="O172" s="2789">
        <v>1.36</v>
      </c>
      <c r="P172" s="2789">
        <v>0.73</v>
      </c>
      <c r="Q172" s="2789">
        <v>0.52</v>
      </c>
      <c r="T172" s="2300"/>
      <c r="U172" s="2300"/>
    </row>
    <row r="173" spans="3:21" ht="14.1" hidden="1" customHeight="1" outlineLevel="1">
      <c r="C173" s="2778"/>
      <c r="D173" s="2779"/>
      <c r="E173" s="2777"/>
      <c r="F173" s="2769" t="s">
        <v>41</v>
      </c>
      <c r="I173" s="2789">
        <v>0.54</v>
      </c>
      <c r="J173" s="2789">
        <v>0.35</v>
      </c>
      <c r="K173" s="2789">
        <v>0.28999999999999998</v>
      </c>
      <c r="L173" s="2789">
        <v>0.8</v>
      </c>
      <c r="M173" s="2789">
        <v>0.48</v>
      </c>
      <c r="N173" s="2789">
        <v>0.38</v>
      </c>
      <c r="O173" s="2789">
        <v>1.36</v>
      </c>
      <c r="P173" s="2789">
        <v>0.73</v>
      </c>
      <c r="Q173" s="2789">
        <v>0.52</v>
      </c>
      <c r="T173" s="2300"/>
      <c r="U173" s="2300"/>
    </row>
    <row r="174" spans="3:21" ht="14.1" hidden="1" customHeight="1" outlineLevel="1">
      <c r="C174" s="2770" t="s">
        <v>292</v>
      </c>
      <c r="D174" s="2771"/>
      <c r="E174" s="2772" t="s">
        <v>39</v>
      </c>
      <c r="F174" s="2769" t="s">
        <v>40</v>
      </c>
      <c r="I174" s="2789">
        <v>0.59</v>
      </c>
      <c r="J174" s="2789">
        <v>0.39</v>
      </c>
      <c r="K174" s="2789">
        <v>0.34</v>
      </c>
      <c r="L174" s="2789">
        <v>0.85</v>
      </c>
      <c r="M174" s="2789">
        <v>0.52</v>
      </c>
      <c r="N174" s="2789">
        <v>0.43</v>
      </c>
      <c r="O174" s="2789">
        <v>1.37</v>
      </c>
      <c r="P174" s="2789">
        <v>0.73</v>
      </c>
      <c r="Q174" s="2789">
        <v>0.53</v>
      </c>
      <c r="T174" s="2300"/>
      <c r="U174" s="2300"/>
    </row>
    <row r="175" spans="3:21" ht="14.1" hidden="1" customHeight="1" outlineLevel="1">
      <c r="C175" s="2774"/>
      <c r="D175" s="2775"/>
      <c r="E175" s="2776"/>
      <c r="F175" s="2769" t="s">
        <v>293</v>
      </c>
      <c r="I175" s="2789">
        <v>0.56999999999999995</v>
      </c>
      <c r="J175" s="2789">
        <v>0.38</v>
      </c>
      <c r="K175" s="2789">
        <v>0.33</v>
      </c>
      <c r="L175" s="2789">
        <v>0.83</v>
      </c>
      <c r="M175" s="2789">
        <v>0.51</v>
      </c>
      <c r="N175" s="2789">
        <v>0.41</v>
      </c>
      <c r="O175" s="2789">
        <v>1.37</v>
      </c>
      <c r="P175" s="2789">
        <v>0.73</v>
      </c>
      <c r="Q175" s="2789">
        <v>0.53</v>
      </c>
      <c r="T175" s="2300"/>
      <c r="U175" s="2300"/>
    </row>
    <row r="176" spans="3:21" ht="14.1" hidden="1" customHeight="1" outlineLevel="1">
      <c r="C176" s="2774"/>
      <c r="D176" s="2775"/>
      <c r="E176" s="2777"/>
      <c r="F176" s="2769" t="s">
        <v>41</v>
      </c>
      <c r="I176" s="2789">
        <v>0.56000000000000005</v>
      </c>
      <c r="J176" s="2789">
        <v>0.38</v>
      </c>
      <c r="K176" s="2789">
        <v>0.32</v>
      </c>
      <c r="L176" s="2789">
        <v>0.81</v>
      </c>
      <c r="M176" s="2789">
        <v>0.51</v>
      </c>
      <c r="N176" s="2789">
        <v>0.41</v>
      </c>
      <c r="O176" s="2789">
        <v>1.37</v>
      </c>
      <c r="P176" s="2789">
        <v>0.73</v>
      </c>
      <c r="Q176" s="2789">
        <v>0.53</v>
      </c>
      <c r="T176" s="2300"/>
      <c r="U176" s="2300"/>
    </row>
    <row r="177" spans="3:21" ht="14.1" hidden="1" customHeight="1" outlineLevel="1">
      <c r="C177" s="2774"/>
      <c r="D177" s="2775"/>
      <c r="E177" s="2772" t="s">
        <v>292</v>
      </c>
      <c r="F177" s="2769" t="s">
        <v>40</v>
      </c>
      <c r="I177" s="2789">
        <v>0.59</v>
      </c>
      <c r="J177" s="2789">
        <v>0.39</v>
      </c>
      <c r="K177" s="2789">
        <v>0.34</v>
      </c>
      <c r="L177" s="2789">
        <v>0.85</v>
      </c>
      <c r="M177" s="2789">
        <v>0.52</v>
      </c>
      <c r="N177" s="2789">
        <v>0.43</v>
      </c>
      <c r="O177" s="2789">
        <v>1.37</v>
      </c>
      <c r="P177" s="2789">
        <v>0.73</v>
      </c>
      <c r="Q177" s="2789">
        <v>0.53</v>
      </c>
      <c r="T177" s="2300"/>
      <c r="U177" s="2300"/>
    </row>
    <row r="178" spans="3:21" ht="14.1" hidden="1" customHeight="1" outlineLevel="1">
      <c r="C178" s="2774"/>
      <c r="D178" s="2775"/>
      <c r="E178" s="2776"/>
      <c r="F178" s="2769" t="s">
        <v>293</v>
      </c>
      <c r="I178" s="2789">
        <v>0.55000000000000004</v>
      </c>
      <c r="J178" s="2789">
        <v>0.35</v>
      </c>
      <c r="K178" s="2789">
        <v>0.3</v>
      </c>
      <c r="L178" s="2789">
        <v>0.81</v>
      </c>
      <c r="M178" s="2789">
        <v>0.48</v>
      </c>
      <c r="N178" s="2789">
        <v>0.39</v>
      </c>
      <c r="O178" s="2789">
        <v>1.37</v>
      </c>
      <c r="P178" s="2789">
        <v>0.73</v>
      </c>
      <c r="Q178" s="2789">
        <v>0.53</v>
      </c>
      <c r="T178" s="2300"/>
      <c r="U178" s="2300"/>
    </row>
    <row r="179" spans="3:21" ht="14.1" hidden="1" customHeight="1" outlineLevel="1">
      <c r="C179" s="2774"/>
      <c r="D179" s="2775"/>
      <c r="E179" s="2777"/>
      <c r="F179" s="2769" t="s">
        <v>41</v>
      </c>
      <c r="I179" s="2789">
        <v>0.51</v>
      </c>
      <c r="J179" s="2789">
        <v>0.35</v>
      </c>
      <c r="K179" s="2789">
        <v>0.28999999999999998</v>
      </c>
      <c r="L179" s="2789">
        <v>0.77</v>
      </c>
      <c r="M179" s="2789">
        <v>0.48</v>
      </c>
      <c r="N179" s="2789">
        <v>0.38</v>
      </c>
      <c r="O179" s="2789">
        <v>1.36</v>
      </c>
      <c r="P179" s="2789">
        <v>0.73</v>
      </c>
      <c r="Q179" s="2789">
        <v>0.53</v>
      </c>
      <c r="T179" s="2300"/>
      <c r="U179" s="2300"/>
    </row>
    <row r="180" spans="3:21" ht="14.1" hidden="1" customHeight="1" outlineLevel="1">
      <c r="C180" s="2774"/>
      <c r="D180" s="2775"/>
      <c r="E180" s="2772" t="s">
        <v>40</v>
      </c>
      <c r="F180" s="2769" t="s">
        <v>40</v>
      </c>
      <c r="I180" s="2789">
        <v>0.54</v>
      </c>
      <c r="J180" s="2789">
        <v>0.36</v>
      </c>
      <c r="K180" s="2789">
        <v>0.31</v>
      </c>
      <c r="L180" s="2789">
        <v>0.8</v>
      </c>
      <c r="M180" s="2789">
        <v>0.49</v>
      </c>
      <c r="N180" s="2789">
        <v>0.4</v>
      </c>
      <c r="O180" s="2789">
        <v>1.36</v>
      </c>
      <c r="P180" s="2789">
        <v>0.73</v>
      </c>
      <c r="Q180" s="2789">
        <v>0.53</v>
      </c>
      <c r="T180" s="2300"/>
      <c r="U180" s="2300"/>
    </row>
    <row r="181" spans="3:21" ht="14.1" hidden="1" customHeight="1" outlineLevel="1">
      <c r="C181" s="2774"/>
      <c r="D181" s="2775"/>
      <c r="E181" s="2776"/>
      <c r="F181" s="2769" t="s">
        <v>293</v>
      </c>
      <c r="I181" s="2789">
        <v>0.53</v>
      </c>
      <c r="J181" s="2789">
        <v>0.34</v>
      </c>
      <c r="K181" s="2789">
        <v>0.28000000000000003</v>
      </c>
      <c r="L181" s="2789">
        <v>0.79</v>
      </c>
      <c r="M181" s="2789">
        <v>0.47</v>
      </c>
      <c r="N181" s="2789">
        <v>0.37</v>
      </c>
      <c r="O181" s="2789">
        <v>1.36</v>
      </c>
      <c r="P181" s="2789">
        <v>0.73</v>
      </c>
      <c r="Q181" s="2789">
        <v>0.52</v>
      </c>
      <c r="T181" s="2300"/>
      <c r="U181" s="2300"/>
    </row>
    <row r="182" spans="3:21" ht="14.1" hidden="1" customHeight="1" outlineLevel="1">
      <c r="C182" s="2774"/>
      <c r="D182" s="2775"/>
      <c r="E182" s="2777"/>
      <c r="F182" s="2769" t="s">
        <v>41</v>
      </c>
      <c r="I182" s="2789">
        <v>0.51</v>
      </c>
      <c r="J182" s="2789">
        <v>0.33</v>
      </c>
      <c r="K182" s="2789">
        <v>0.28000000000000003</v>
      </c>
      <c r="L182" s="2789">
        <v>0.77</v>
      </c>
      <c r="M182" s="2789">
        <v>0.46</v>
      </c>
      <c r="N182" s="2789">
        <v>0.36</v>
      </c>
      <c r="O182" s="2789">
        <v>1.36</v>
      </c>
      <c r="P182" s="2789">
        <v>0.73</v>
      </c>
      <c r="Q182" s="2789">
        <v>0.52</v>
      </c>
      <c r="T182" s="2300"/>
      <c r="U182" s="2300"/>
    </row>
    <row r="183" spans="3:21" ht="14.1" hidden="1" customHeight="1" outlineLevel="1">
      <c r="C183" s="2774"/>
      <c r="D183" s="2775"/>
      <c r="E183" s="2772" t="s">
        <v>293</v>
      </c>
      <c r="F183" s="2769" t="s">
        <v>40</v>
      </c>
      <c r="I183" s="2789">
        <v>0.54</v>
      </c>
      <c r="J183" s="2789">
        <v>0.35</v>
      </c>
      <c r="K183" s="2789">
        <v>0.3</v>
      </c>
      <c r="L183" s="2789">
        <v>0.8</v>
      </c>
      <c r="M183" s="2789">
        <v>0.48</v>
      </c>
      <c r="N183" s="2789">
        <v>0.38</v>
      </c>
      <c r="O183" s="2789">
        <v>1.36</v>
      </c>
      <c r="P183" s="2789">
        <v>0.73</v>
      </c>
      <c r="Q183" s="2789">
        <v>0.52</v>
      </c>
      <c r="T183" s="2300"/>
      <c r="U183" s="2300"/>
    </row>
    <row r="184" spans="3:21" ht="14.1" hidden="1" customHeight="1" outlineLevel="1">
      <c r="C184" s="2774"/>
      <c r="D184" s="2775"/>
      <c r="E184" s="2776"/>
      <c r="F184" s="2769" t="s">
        <v>293</v>
      </c>
      <c r="I184" s="2789">
        <v>0.53</v>
      </c>
      <c r="J184" s="2789">
        <v>0.33</v>
      </c>
      <c r="K184" s="2789">
        <v>0.28000000000000003</v>
      </c>
      <c r="L184" s="2789">
        <v>0.79</v>
      </c>
      <c r="M184" s="2789">
        <v>0.46</v>
      </c>
      <c r="N184" s="2789">
        <v>0.36</v>
      </c>
      <c r="O184" s="2789">
        <v>1.36</v>
      </c>
      <c r="P184" s="2789">
        <v>0.73</v>
      </c>
      <c r="Q184" s="2789">
        <v>0.52</v>
      </c>
      <c r="T184" s="2300"/>
      <c r="U184" s="2300"/>
    </row>
    <row r="185" spans="3:21" ht="14.1" hidden="1" customHeight="1" outlineLevel="1">
      <c r="C185" s="2778"/>
      <c r="D185" s="2779"/>
      <c r="E185" s="2777"/>
      <c r="F185" s="2769" t="s">
        <v>41</v>
      </c>
      <c r="I185" s="2789">
        <v>0.51</v>
      </c>
      <c r="J185" s="2789">
        <v>0.33</v>
      </c>
      <c r="K185" s="2789">
        <v>0.27</v>
      </c>
      <c r="L185" s="2789">
        <v>0.77</v>
      </c>
      <c r="M185" s="2789">
        <v>0.46</v>
      </c>
      <c r="N185" s="2789">
        <v>0.36</v>
      </c>
      <c r="O185" s="2789">
        <v>1.36</v>
      </c>
      <c r="P185" s="2789">
        <v>0.73</v>
      </c>
      <c r="Q185" s="2789">
        <v>0.52</v>
      </c>
      <c r="T185" s="2300"/>
      <c r="U185" s="2300"/>
    </row>
    <row r="186" spans="3:21" ht="14.1" hidden="1" customHeight="1" outlineLevel="1">
      <c r="C186" s="2770" t="s">
        <v>40</v>
      </c>
      <c r="D186" s="2771"/>
      <c r="E186" s="2772" t="s">
        <v>39</v>
      </c>
      <c r="F186" s="2769" t="s">
        <v>40</v>
      </c>
      <c r="I186" s="2789">
        <v>0.56000000000000005</v>
      </c>
      <c r="J186" s="2789">
        <v>0.37</v>
      </c>
      <c r="K186" s="2789">
        <v>0.32</v>
      </c>
      <c r="L186" s="2789">
        <v>0.81</v>
      </c>
      <c r="M186" s="2789">
        <v>0.5</v>
      </c>
      <c r="N186" s="2789">
        <v>0.41</v>
      </c>
      <c r="O186" s="2789">
        <v>1.37</v>
      </c>
      <c r="P186" s="2789">
        <v>0.73</v>
      </c>
      <c r="Q186" s="2789">
        <v>0.53</v>
      </c>
      <c r="T186" s="2300"/>
      <c r="U186" s="2300"/>
    </row>
    <row r="187" spans="3:21" ht="14.1" hidden="1" customHeight="1" outlineLevel="1">
      <c r="C187" s="2774"/>
      <c r="D187" s="2775"/>
      <c r="E187" s="2776"/>
      <c r="F187" s="2769" t="s">
        <v>293</v>
      </c>
      <c r="I187" s="2789">
        <v>0.56000000000000005</v>
      </c>
      <c r="J187" s="2789">
        <v>0.37</v>
      </c>
      <c r="K187" s="2789">
        <v>0.31</v>
      </c>
      <c r="L187" s="2789">
        <v>0.81</v>
      </c>
      <c r="M187" s="2789">
        <v>0.5</v>
      </c>
      <c r="N187" s="2789">
        <v>0.4</v>
      </c>
      <c r="O187" s="2789">
        <v>1.37</v>
      </c>
      <c r="P187" s="2789">
        <v>0.73</v>
      </c>
      <c r="Q187" s="2789">
        <v>0.53</v>
      </c>
      <c r="T187" s="2300"/>
      <c r="U187" s="2300"/>
    </row>
    <row r="188" spans="3:21" ht="14.1" hidden="1" customHeight="1" outlineLevel="1">
      <c r="C188" s="2774"/>
      <c r="D188" s="2775"/>
      <c r="E188" s="2777"/>
      <c r="F188" s="2769" t="s">
        <v>41</v>
      </c>
      <c r="I188" s="2789">
        <v>0.56000000000000005</v>
      </c>
      <c r="J188" s="2789">
        <v>0.36</v>
      </c>
      <c r="K188" s="2789">
        <v>0.31</v>
      </c>
      <c r="L188" s="2789">
        <v>0.81</v>
      </c>
      <c r="M188" s="2789">
        <v>0.49</v>
      </c>
      <c r="N188" s="2789">
        <v>0.4</v>
      </c>
      <c r="O188" s="2789">
        <v>1.37</v>
      </c>
      <c r="P188" s="2789">
        <v>0.73</v>
      </c>
      <c r="Q188" s="2789">
        <v>0.53</v>
      </c>
      <c r="T188" s="2300"/>
      <c r="U188" s="2300"/>
    </row>
    <row r="189" spans="3:21" ht="14.1" hidden="1" customHeight="1" outlineLevel="1">
      <c r="C189" s="2774"/>
      <c r="D189" s="2775"/>
      <c r="E189" s="2772" t="s">
        <v>292</v>
      </c>
      <c r="F189" s="2769" t="s">
        <v>40</v>
      </c>
      <c r="I189" s="2789">
        <v>0.56000000000000005</v>
      </c>
      <c r="J189" s="2789">
        <v>0.37</v>
      </c>
      <c r="K189" s="2789">
        <v>0.32</v>
      </c>
      <c r="L189" s="2789">
        <v>0.81</v>
      </c>
      <c r="M189" s="2789">
        <v>0.5</v>
      </c>
      <c r="N189" s="2789">
        <v>0.41</v>
      </c>
      <c r="O189" s="2789">
        <v>1.37</v>
      </c>
      <c r="P189" s="2789">
        <v>0.73</v>
      </c>
      <c r="Q189" s="2789">
        <v>0.53</v>
      </c>
      <c r="T189" s="2300"/>
      <c r="U189" s="2300"/>
    </row>
    <row r="190" spans="3:21" ht="14.1" hidden="1" customHeight="1" outlineLevel="1">
      <c r="C190" s="2774"/>
      <c r="D190" s="2775"/>
      <c r="E190" s="2776"/>
      <c r="F190" s="2769" t="s">
        <v>293</v>
      </c>
      <c r="I190" s="2789">
        <v>0.53</v>
      </c>
      <c r="J190" s="2789">
        <v>0.35</v>
      </c>
      <c r="K190" s="2789">
        <v>0.28999999999999998</v>
      </c>
      <c r="L190" s="2789">
        <v>0.79</v>
      </c>
      <c r="M190" s="2789">
        <v>0.48</v>
      </c>
      <c r="N190" s="2789">
        <v>0.38</v>
      </c>
      <c r="O190" s="2789">
        <v>1.37</v>
      </c>
      <c r="P190" s="2789">
        <v>0.73</v>
      </c>
      <c r="Q190" s="2789">
        <v>0.53</v>
      </c>
      <c r="T190" s="2300"/>
      <c r="U190" s="2300"/>
    </row>
    <row r="191" spans="3:21" ht="14.1" hidden="1" customHeight="1" outlineLevel="1">
      <c r="C191" s="2774"/>
      <c r="D191" s="2775"/>
      <c r="E191" s="2777"/>
      <c r="F191" s="2769" t="s">
        <v>41</v>
      </c>
      <c r="I191" s="2789">
        <v>0.51</v>
      </c>
      <c r="J191" s="2789">
        <v>0.34</v>
      </c>
      <c r="K191" s="2789">
        <v>0.28000000000000003</v>
      </c>
      <c r="L191" s="2789">
        <v>0.77</v>
      </c>
      <c r="M191" s="2789">
        <v>0.47</v>
      </c>
      <c r="N191" s="2789">
        <v>0.37</v>
      </c>
      <c r="O191" s="2789">
        <v>1.36</v>
      </c>
      <c r="P191" s="2789">
        <v>0.73</v>
      </c>
      <c r="Q191" s="2789">
        <v>0.53</v>
      </c>
      <c r="T191" s="2300"/>
      <c r="U191" s="2300"/>
    </row>
    <row r="192" spans="3:21" ht="14.1" hidden="1" customHeight="1" outlineLevel="1">
      <c r="C192" s="2774"/>
      <c r="D192" s="2775"/>
      <c r="E192" s="2772" t="s">
        <v>40</v>
      </c>
      <c r="F192" s="2769" t="s">
        <v>40</v>
      </c>
      <c r="I192" s="2789">
        <v>0.51</v>
      </c>
      <c r="J192" s="2789">
        <v>0.34</v>
      </c>
      <c r="K192" s="2789">
        <v>0.28999999999999998</v>
      </c>
      <c r="L192" s="2789">
        <v>0.77</v>
      </c>
      <c r="M192" s="2789">
        <v>0.47</v>
      </c>
      <c r="N192" s="2789">
        <v>0.38</v>
      </c>
      <c r="O192" s="2789">
        <v>1.36</v>
      </c>
      <c r="P192" s="2789">
        <v>0.73</v>
      </c>
      <c r="Q192" s="2789">
        <v>0.53</v>
      </c>
      <c r="T192" s="2300"/>
      <c r="U192" s="2300"/>
    </row>
    <row r="193" spans="3:21" ht="14.1" hidden="1" customHeight="1" outlineLevel="1">
      <c r="C193" s="2774"/>
      <c r="D193" s="2775"/>
      <c r="E193" s="2776"/>
      <c r="F193" s="2769" t="s">
        <v>293</v>
      </c>
      <c r="I193" s="2789">
        <v>0.51</v>
      </c>
      <c r="J193" s="2789">
        <v>0.34</v>
      </c>
      <c r="K193" s="2789">
        <v>0.27</v>
      </c>
      <c r="L193" s="2789">
        <v>0.77</v>
      </c>
      <c r="M193" s="2789">
        <v>0.47</v>
      </c>
      <c r="N193" s="2789">
        <v>0.35</v>
      </c>
      <c r="O193" s="2789">
        <v>1.36</v>
      </c>
      <c r="P193" s="2789">
        <v>0.73</v>
      </c>
      <c r="Q193" s="2789">
        <v>0.52</v>
      </c>
      <c r="T193" s="2300"/>
      <c r="U193" s="2300"/>
    </row>
    <row r="194" spans="3:21" ht="14.1" hidden="1" customHeight="1" outlineLevel="1">
      <c r="C194" s="2774"/>
      <c r="D194" s="2775"/>
      <c r="E194" s="2777"/>
      <c r="F194" s="2769" t="s">
        <v>41</v>
      </c>
      <c r="I194" s="2789">
        <v>0.51</v>
      </c>
      <c r="J194" s="2789">
        <v>0.32</v>
      </c>
      <c r="K194" s="2789">
        <v>0.27</v>
      </c>
      <c r="L194" s="2789">
        <v>0.77</v>
      </c>
      <c r="M194" s="2789">
        <v>0.45</v>
      </c>
      <c r="N194" s="2789">
        <v>0.35</v>
      </c>
      <c r="O194" s="2789">
        <v>1.36</v>
      </c>
      <c r="P194" s="2789">
        <v>0.73</v>
      </c>
      <c r="Q194" s="2789">
        <v>0.52</v>
      </c>
      <c r="T194" s="2300"/>
      <c r="U194" s="2300"/>
    </row>
    <row r="195" spans="3:21" ht="14.1" hidden="1" customHeight="1" outlineLevel="1">
      <c r="C195" s="2774"/>
      <c r="D195" s="2775"/>
      <c r="E195" s="2772" t="s">
        <v>293</v>
      </c>
      <c r="F195" s="2769" t="s">
        <v>40</v>
      </c>
      <c r="I195" s="2789">
        <v>0.51</v>
      </c>
      <c r="J195" s="2789">
        <v>0.32</v>
      </c>
      <c r="K195" s="2789">
        <v>0.28000000000000003</v>
      </c>
      <c r="L195" s="2789">
        <v>0.77</v>
      </c>
      <c r="M195" s="2789">
        <v>0.45</v>
      </c>
      <c r="N195" s="2789">
        <v>0.36</v>
      </c>
      <c r="O195" s="2789">
        <v>1.36</v>
      </c>
      <c r="P195" s="2789">
        <v>0.73</v>
      </c>
      <c r="Q195" s="2789">
        <v>0.52</v>
      </c>
      <c r="T195" s="2300"/>
      <c r="U195" s="2300"/>
    </row>
    <row r="196" spans="3:21" ht="14.1" hidden="1" customHeight="1" outlineLevel="1">
      <c r="C196" s="2774"/>
      <c r="D196" s="2775"/>
      <c r="E196" s="2776"/>
      <c r="F196" s="2769" t="s">
        <v>293</v>
      </c>
      <c r="I196" s="2789">
        <v>0.51</v>
      </c>
      <c r="J196" s="2789">
        <v>0.32</v>
      </c>
      <c r="K196" s="2789">
        <v>0.26</v>
      </c>
      <c r="L196" s="2789">
        <v>0.77</v>
      </c>
      <c r="M196" s="2789">
        <v>0.45</v>
      </c>
      <c r="N196" s="2789">
        <v>0.35</v>
      </c>
      <c r="O196" s="2789">
        <v>1.36</v>
      </c>
      <c r="P196" s="2789">
        <v>0.73</v>
      </c>
      <c r="Q196" s="2789">
        <v>0.52</v>
      </c>
      <c r="T196" s="2300"/>
      <c r="U196" s="2300"/>
    </row>
    <row r="197" spans="3:21" ht="14.1" hidden="1" customHeight="1" outlineLevel="1">
      <c r="C197" s="2778"/>
      <c r="D197" s="2779"/>
      <c r="E197" s="2777"/>
      <c r="F197" s="2769" t="s">
        <v>41</v>
      </c>
      <c r="I197" s="2789">
        <v>0.51</v>
      </c>
      <c r="J197" s="2789">
        <v>0.32</v>
      </c>
      <c r="K197" s="2789">
        <v>0.26</v>
      </c>
      <c r="L197" s="2789">
        <v>0.77</v>
      </c>
      <c r="M197" s="2789">
        <v>0.45</v>
      </c>
      <c r="N197" s="2789">
        <v>0.35</v>
      </c>
      <c r="O197" s="2789">
        <v>1.36</v>
      </c>
      <c r="P197" s="2789">
        <v>0.73</v>
      </c>
      <c r="Q197" s="2789">
        <v>0.52</v>
      </c>
      <c r="T197" s="2300"/>
      <c r="U197" s="2300"/>
    </row>
    <row r="198" spans="3:21" ht="14.1" hidden="1" customHeight="1" outlineLevel="1">
      <c r="C198" s="2770" t="s">
        <v>293</v>
      </c>
      <c r="D198" s="2771"/>
      <c r="E198" s="2772" t="s">
        <v>39</v>
      </c>
      <c r="F198" s="2769" t="s">
        <v>40</v>
      </c>
      <c r="I198" s="2789">
        <v>0.56000000000000005</v>
      </c>
      <c r="J198" s="2789">
        <v>0.36</v>
      </c>
      <c r="K198" s="2789">
        <v>0.31</v>
      </c>
      <c r="L198" s="2789">
        <v>0.81</v>
      </c>
      <c r="M198" s="2789">
        <v>0.49</v>
      </c>
      <c r="N198" s="2789">
        <v>0.4</v>
      </c>
      <c r="O198" s="2789">
        <v>1.37</v>
      </c>
      <c r="P198" s="2789">
        <v>0.73</v>
      </c>
      <c r="Q198" s="2789">
        <v>0.53</v>
      </c>
      <c r="T198" s="2300"/>
      <c r="U198" s="2300"/>
    </row>
    <row r="199" spans="3:21" ht="14.1" hidden="1" customHeight="1" outlineLevel="1">
      <c r="C199" s="2774"/>
      <c r="D199" s="2775"/>
      <c r="E199" s="2776"/>
      <c r="F199" s="2769" t="s">
        <v>293</v>
      </c>
      <c r="I199" s="2789">
        <v>0.56000000000000005</v>
      </c>
      <c r="J199" s="2789">
        <v>0.36</v>
      </c>
      <c r="K199" s="2789">
        <v>0.31</v>
      </c>
      <c r="L199" s="2789">
        <v>0.81</v>
      </c>
      <c r="M199" s="2789">
        <v>0.49</v>
      </c>
      <c r="N199" s="2789">
        <v>0.39</v>
      </c>
      <c r="O199" s="2789">
        <v>1.37</v>
      </c>
      <c r="P199" s="2789">
        <v>0.73</v>
      </c>
      <c r="Q199" s="2789">
        <v>0.53</v>
      </c>
      <c r="T199" s="2300"/>
      <c r="U199" s="2300"/>
    </row>
    <row r="200" spans="3:21" ht="14.1" hidden="1" customHeight="1" outlineLevel="1">
      <c r="C200" s="2774"/>
      <c r="D200" s="2775"/>
      <c r="E200" s="2777"/>
      <c r="F200" s="2769" t="s">
        <v>41</v>
      </c>
      <c r="I200" s="2789">
        <v>0.56000000000000005</v>
      </c>
      <c r="J200" s="2789">
        <v>0.36</v>
      </c>
      <c r="K200" s="2789">
        <v>0.31</v>
      </c>
      <c r="L200" s="2789">
        <v>0.81</v>
      </c>
      <c r="M200" s="2789">
        <v>0.49</v>
      </c>
      <c r="N200" s="2789">
        <v>0.39</v>
      </c>
      <c r="O200" s="2789">
        <v>1.37</v>
      </c>
      <c r="P200" s="2789">
        <v>0.73</v>
      </c>
      <c r="Q200" s="2789">
        <v>0.53</v>
      </c>
      <c r="T200" s="2300"/>
      <c r="U200" s="2300"/>
    </row>
    <row r="201" spans="3:21" ht="14.1" hidden="1" customHeight="1" outlineLevel="1">
      <c r="C201" s="2774"/>
      <c r="D201" s="2775"/>
      <c r="E201" s="2772" t="s">
        <v>292</v>
      </c>
      <c r="F201" s="2769" t="s">
        <v>40</v>
      </c>
      <c r="I201" s="2789">
        <v>0.56000000000000005</v>
      </c>
      <c r="J201" s="2789">
        <v>0.36</v>
      </c>
      <c r="K201" s="2789">
        <v>0.31</v>
      </c>
      <c r="L201" s="2789">
        <v>0.81</v>
      </c>
      <c r="M201" s="2789">
        <v>0.49</v>
      </c>
      <c r="N201" s="2789">
        <v>0.4</v>
      </c>
      <c r="O201" s="2789">
        <v>1.37</v>
      </c>
      <c r="P201" s="2789">
        <v>0.73</v>
      </c>
      <c r="Q201" s="2789">
        <v>0.53</v>
      </c>
      <c r="T201" s="2300"/>
      <c r="U201" s="2300"/>
    </row>
    <row r="202" spans="3:21" ht="14.1" hidden="1" customHeight="1" outlineLevel="1">
      <c r="C202" s="2774"/>
      <c r="D202" s="2775"/>
      <c r="E202" s="2776"/>
      <c r="F202" s="2769" t="s">
        <v>293</v>
      </c>
      <c r="I202" s="2789">
        <v>0.53</v>
      </c>
      <c r="J202" s="2789">
        <v>0.34</v>
      </c>
      <c r="K202" s="2789">
        <v>0.28000000000000003</v>
      </c>
      <c r="L202" s="2789">
        <v>0.79</v>
      </c>
      <c r="M202" s="2789">
        <v>0.47</v>
      </c>
      <c r="N202" s="2789">
        <v>0.37</v>
      </c>
      <c r="O202" s="2789">
        <v>1.37</v>
      </c>
      <c r="P202" s="2789">
        <v>0.73</v>
      </c>
      <c r="Q202" s="2789">
        <v>0.53</v>
      </c>
      <c r="T202" s="2300"/>
      <c r="U202" s="2300"/>
    </row>
    <row r="203" spans="3:21" ht="14.1" hidden="1" customHeight="1" outlineLevel="1">
      <c r="C203" s="2774"/>
      <c r="D203" s="2775"/>
      <c r="E203" s="2777"/>
      <c r="F203" s="2769" t="s">
        <v>41</v>
      </c>
      <c r="I203" s="2789">
        <v>0.51</v>
      </c>
      <c r="J203" s="2789">
        <v>0.34</v>
      </c>
      <c r="K203" s="2789">
        <v>0.28000000000000003</v>
      </c>
      <c r="L203" s="2789">
        <v>0.77</v>
      </c>
      <c r="M203" s="2789">
        <v>0.47</v>
      </c>
      <c r="N203" s="2789">
        <v>0.36</v>
      </c>
      <c r="O203" s="2789">
        <v>1.36</v>
      </c>
      <c r="P203" s="2789">
        <v>0.73</v>
      </c>
      <c r="Q203" s="2789">
        <v>0.53</v>
      </c>
      <c r="T203" s="2300"/>
      <c r="U203" s="2300"/>
    </row>
    <row r="204" spans="3:21" ht="14.1" hidden="1" customHeight="1" outlineLevel="1">
      <c r="C204" s="2774"/>
      <c r="D204" s="2775"/>
      <c r="E204" s="2772" t="s">
        <v>40</v>
      </c>
      <c r="F204" s="2769" t="s">
        <v>40</v>
      </c>
      <c r="I204" s="2789">
        <v>0.51</v>
      </c>
      <c r="J204" s="2789">
        <v>0.33</v>
      </c>
      <c r="K204" s="2789">
        <v>0.28000000000000003</v>
      </c>
      <c r="L204" s="2789">
        <v>0.77</v>
      </c>
      <c r="M204" s="2789">
        <v>0.46</v>
      </c>
      <c r="N204" s="2789">
        <v>0.37</v>
      </c>
      <c r="O204" s="2789">
        <v>1.36</v>
      </c>
      <c r="P204" s="2789">
        <v>0.73</v>
      </c>
      <c r="Q204" s="2789">
        <v>0.53</v>
      </c>
      <c r="T204" s="2300"/>
      <c r="U204" s="2300"/>
    </row>
    <row r="205" spans="3:21" ht="14.1" hidden="1" customHeight="1" outlineLevel="1">
      <c r="C205" s="2774"/>
      <c r="D205" s="2775"/>
      <c r="E205" s="2776"/>
      <c r="F205" s="2769" t="s">
        <v>293</v>
      </c>
      <c r="I205" s="2789">
        <v>0.51</v>
      </c>
      <c r="J205" s="2789">
        <v>0.33</v>
      </c>
      <c r="K205" s="2789">
        <v>0.26</v>
      </c>
      <c r="L205" s="2789">
        <v>0.77</v>
      </c>
      <c r="M205" s="2789">
        <v>0.46</v>
      </c>
      <c r="N205" s="2789">
        <v>0.35</v>
      </c>
      <c r="O205" s="2789">
        <v>1.36</v>
      </c>
      <c r="P205" s="2789">
        <v>0.73</v>
      </c>
      <c r="Q205" s="2789">
        <v>0.52</v>
      </c>
      <c r="T205" s="2300"/>
      <c r="U205" s="2300"/>
    </row>
    <row r="206" spans="3:21" ht="14.1" hidden="1" customHeight="1" outlineLevel="1">
      <c r="C206" s="2774"/>
      <c r="D206" s="2775"/>
      <c r="E206" s="2777"/>
      <c r="F206" s="2769" t="s">
        <v>41</v>
      </c>
      <c r="I206" s="2789">
        <v>0.51</v>
      </c>
      <c r="J206" s="2789">
        <v>0.32</v>
      </c>
      <c r="K206" s="2789">
        <v>0.26</v>
      </c>
      <c r="L206" s="2789">
        <v>0.77</v>
      </c>
      <c r="M206" s="2789">
        <v>0.45</v>
      </c>
      <c r="N206" s="2789">
        <v>0.35</v>
      </c>
      <c r="O206" s="2789">
        <v>1.36</v>
      </c>
      <c r="P206" s="2789">
        <v>0.73</v>
      </c>
      <c r="Q206" s="2789">
        <v>0.52</v>
      </c>
      <c r="T206" s="2300"/>
      <c r="U206" s="2300"/>
    </row>
    <row r="207" spans="3:21" ht="14.1" hidden="1" customHeight="1" outlineLevel="1">
      <c r="C207" s="2774"/>
      <c r="D207" s="2775"/>
      <c r="E207" s="2772" t="s">
        <v>293</v>
      </c>
      <c r="F207" s="2769" t="s">
        <v>40</v>
      </c>
      <c r="I207" s="2789">
        <v>0.51</v>
      </c>
      <c r="J207" s="2789">
        <v>0.32</v>
      </c>
      <c r="K207" s="2789">
        <v>0.27</v>
      </c>
      <c r="L207" s="2789">
        <v>0.77</v>
      </c>
      <c r="M207" s="2789">
        <v>0.45</v>
      </c>
      <c r="N207" s="2789">
        <v>0.35</v>
      </c>
      <c r="O207" s="2789">
        <v>1.36</v>
      </c>
      <c r="P207" s="2789">
        <v>0.73</v>
      </c>
      <c r="Q207" s="2789">
        <v>0.52</v>
      </c>
      <c r="T207" s="2300"/>
      <c r="U207" s="2300"/>
    </row>
    <row r="208" spans="3:21" ht="14.1" hidden="1" customHeight="1" outlineLevel="1">
      <c r="C208" s="2774"/>
      <c r="D208" s="2775"/>
      <c r="E208" s="2776"/>
      <c r="F208" s="2769" t="s">
        <v>293</v>
      </c>
      <c r="I208" s="2789">
        <v>0.51</v>
      </c>
      <c r="J208" s="2789">
        <v>0.32</v>
      </c>
      <c r="K208" s="2789">
        <v>0.25</v>
      </c>
      <c r="L208" s="2789">
        <v>0.77</v>
      </c>
      <c r="M208" s="2789">
        <v>0.45</v>
      </c>
      <c r="N208" s="2789">
        <v>0.34</v>
      </c>
      <c r="O208" s="2789">
        <v>1.36</v>
      </c>
      <c r="P208" s="2789">
        <v>0.73</v>
      </c>
      <c r="Q208" s="2789">
        <v>0.52</v>
      </c>
      <c r="T208" s="2300"/>
      <c r="U208" s="2300"/>
    </row>
    <row r="209" spans="2:21" ht="14.1" hidden="1" customHeight="1" outlineLevel="1">
      <c r="C209" s="2778"/>
      <c r="D209" s="2779"/>
      <c r="E209" s="2777"/>
      <c r="F209" s="2769" t="s">
        <v>41</v>
      </c>
      <c r="I209" s="2789">
        <v>0.51</v>
      </c>
      <c r="J209" s="2789">
        <v>0.32</v>
      </c>
      <c r="K209" s="2789">
        <v>0.25</v>
      </c>
      <c r="L209" s="2789">
        <v>0.77</v>
      </c>
      <c r="M209" s="2789">
        <v>0.45</v>
      </c>
      <c r="N209" s="2789">
        <v>0.34</v>
      </c>
      <c r="O209" s="2789">
        <v>1.36</v>
      </c>
      <c r="P209" s="2789">
        <v>0.73</v>
      </c>
      <c r="Q209" s="2789">
        <v>0.52</v>
      </c>
      <c r="T209" s="2300"/>
      <c r="U209" s="2300"/>
    </row>
    <row r="210" spans="2:21" ht="14.1" customHeight="1" collapsed="1">
      <c r="B210" s="2302"/>
      <c r="T210" s="2300"/>
      <c r="U210" s="2300"/>
    </row>
    <row r="211" spans="2:21" ht="14.1" hidden="1" customHeight="1">
      <c r="C211" s="2410" t="s">
        <v>2173</v>
      </c>
      <c r="E211" s="2303"/>
      <c r="F211" s="2303"/>
      <c r="H211" s="2303"/>
      <c r="I211" s="2290"/>
      <c r="T211" s="2300"/>
      <c r="U211" s="2300"/>
    </row>
    <row r="212" spans="2:21" ht="14.1" hidden="1" customHeight="1">
      <c r="C212" s="2303"/>
      <c r="D212" s="2305" t="s">
        <v>877</v>
      </c>
      <c r="E212" s="2306"/>
      <c r="F212" s="2307">
        <v>10.99</v>
      </c>
      <c r="H212" s="2307" t="s">
        <v>878</v>
      </c>
      <c r="I212" s="2307" t="s">
        <v>878</v>
      </c>
      <c r="K212" s="2289" t="s">
        <v>914</v>
      </c>
      <c r="L212" s="2309">
        <v>20</v>
      </c>
      <c r="M212" s="2289" t="s">
        <v>912</v>
      </c>
      <c r="N212" s="2290"/>
      <c r="T212" s="2300"/>
      <c r="U212" s="2300"/>
    </row>
    <row r="213" spans="2:21" ht="14.1" hidden="1" customHeight="1">
      <c r="C213" s="2303"/>
      <c r="D213" s="2305" t="s">
        <v>879</v>
      </c>
      <c r="E213" s="2306"/>
      <c r="F213" s="2307">
        <v>5.09</v>
      </c>
      <c r="H213" s="2307" t="s">
        <v>878</v>
      </c>
      <c r="I213" s="2307" t="s">
        <v>878</v>
      </c>
      <c r="T213" s="2300"/>
      <c r="U213" s="2300"/>
    </row>
    <row r="214" spans="2:21" ht="14.1" hidden="1" customHeight="1">
      <c r="C214" s="2303"/>
      <c r="D214" s="2305" t="s">
        <v>880</v>
      </c>
      <c r="E214" s="2306"/>
      <c r="F214" s="2307">
        <v>5.09</v>
      </c>
      <c r="H214" s="2307" t="s">
        <v>878</v>
      </c>
      <c r="I214" s="2307" t="s">
        <v>878</v>
      </c>
      <c r="T214" s="2300"/>
      <c r="U214" s="2300"/>
    </row>
    <row r="215" spans="2:21" ht="14.1" hidden="1" customHeight="1">
      <c r="C215" s="2303"/>
      <c r="D215" s="2305" t="s">
        <v>881</v>
      </c>
      <c r="E215" s="2306"/>
      <c r="F215" s="2307">
        <v>5.09</v>
      </c>
      <c r="H215" s="2307" t="s">
        <v>878</v>
      </c>
      <c r="I215" s="2307" t="s">
        <v>878</v>
      </c>
      <c r="T215" s="2300"/>
      <c r="U215" s="2300"/>
    </row>
    <row r="216" spans="2:21" ht="14.1" hidden="1" customHeight="1">
      <c r="T216" s="2300"/>
      <c r="U216" s="2300"/>
    </row>
    <row r="217" spans="2:21" ht="15.6">
      <c r="C217" s="2290" t="s">
        <v>1802</v>
      </c>
      <c r="T217" s="2308"/>
    </row>
    <row r="218" spans="2:21" customFormat="1" ht="15.6">
      <c r="C218" s="2170" t="s">
        <v>713</v>
      </c>
      <c r="D218" s="2310"/>
      <c r="E218" s="2310" t="s">
        <v>1724</v>
      </c>
      <c r="F218" s="2311" t="s">
        <v>442</v>
      </c>
      <c r="G218" s="2289"/>
      <c r="H218" s="2310"/>
      <c r="I218" s="2310"/>
      <c r="J218" s="2317">
        <f>電気排出係数!D5*1000</f>
        <v>0.47699999999999998</v>
      </c>
      <c r="K218" s="2312" t="str">
        <f>電気排出係数!B5</f>
        <v>東北電力(株)</v>
      </c>
      <c r="L218" s="2313"/>
      <c r="M218" s="2313"/>
      <c r="N218" s="2314" t="s">
        <v>625</v>
      </c>
      <c r="O218" s="2313">
        <f>電気排出係数!E5*1000</f>
        <v>0.46</v>
      </c>
      <c r="P218" s="2315" t="s">
        <v>981</v>
      </c>
      <c r="Q218" s="2790"/>
      <c r="R218" s="2289"/>
    </row>
    <row r="219" spans="2:21" customFormat="1" ht="15.6">
      <c r="C219" s="2291"/>
      <c r="D219" s="2316"/>
      <c r="E219" s="2310"/>
      <c r="F219" s="2311" t="s">
        <v>903</v>
      </c>
      <c r="G219" s="2289"/>
      <c r="H219" s="2310"/>
      <c r="I219" s="2310"/>
      <c r="J219" s="2317">
        <f>J218/K219</f>
        <v>4.8872950819672127E-2</v>
      </c>
      <c r="K219" s="2318">
        <v>9.76</v>
      </c>
      <c r="L219" s="2319" t="s">
        <v>971</v>
      </c>
      <c r="M219" s="2310"/>
      <c r="N219" s="2310"/>
      <c r="O219" s="2310"/>
      <c r="P219" s="2310"/>
      <c r="Q219" s="2320"/>
      <c r="R219" s="2289"/>
    </row>
    <row r="220" spans="2:21" customFormat="1" ht="15.6">
      <c r="C220" s="2291"/>
      <c r="D220" s="2316"/>
      <c r="E220" s="2310" t="s">
        <v>616</v>
      </c>
      <c r="F220" s="2311" t="s">
        <v>903</v>
      </c>
      <c r="G220" s="2289"/>
      <c r="H220" s="2310"/>
      <c r="I220" s="2310"/>
      <c r="J220" s="2317">
        <v>4.5600000000000002E-2</v>
      </c>
      <c r="K220" s="2791" t="s">
        <v>2137</v>
      </c>
      <c r="L220" s="2310"/>
      <c r="M220" s="2310"/>
      <c r="N220" s="2310"/>
      <c r="O220" s="2310"/>
      <c r="P220" s="2310"/>
      <c r="Q220" s="2320"/>
      <c r="R220" s="2289"/>
    </row>
    <row r="221" spans="2:21" customFormat="1" ht="15.6">
      <c r="C221" s="2291"/>
      <c r="D221" s="2316"/>
      <c r="E221" s="2310" t="s">
        <v>1725</v>
      </c>
      <c r="F221" s="2311" t="s">
        <v>903</v>
      </c>
      <c r="G221" s="2289"/>
      <c r="H221" s="2310"/>
      <c r="I221" s="2310"/>
      <c r="J221" s="2317">
        <v>5.3199999999999997E-2</v>
      </c>
      <c r="K221" s="2791" t="s">
        <v>2138</v>
      </c>
      <c r="L221" s="2310"/>
      <c r="M221" s="2310"/>
      <c r="N221" s="2310"/>
      <c r="O221" s="2310"/>
      <c r="P221" s="2310"/>
      <c r="Q221" s="2320"/>
      <c r="R221" s="2289"/>
    </row>
    <row r="222" spans="2:21" customFormat="1" ht="15.6">
      <c r="C222" s="2291"/>
      <c r="D222" s="2316"/>
      <c r="E222" s="2310" t="s">
        <v>617</v>
      </c>
      <c r="F222" s="2311" t="s">
        <v>903</v>
      </c>
      <c r="G222" s="2289"/>
      <c r="H222" s="2310"/>
      <c r="I222" s="2310"/>
      <c r="J222" s="2317">
        <v>6.8599999999999994E-2</v>
      </c>
      <c r="K222" s="2792">
        <v>1.8700000000000001E-2</v>
      </c>
      <c r="L222" s="2598" t="s">
        <v>1798</v>
      </c>
      <c r="M222" s="2310"/>
      <c r="N222" s="2310"/>
      <c r="O222" s="2310"/>
      <c r="P222" s="2310"/>
      <c r="Q222" s="2320"/>
      <c r="R222" s="2289"/>
    </row>
    <row r="223" spans="2:21" customFormat="1" ht="15.6">
      <c r="C223" s="2291"/>
      <c r="D223" s="2316"/>
      <c r="E223" s="2310" t="s">
        <v>614</v>
      </c>
      <c r="F223" s="2311" t="s">
        <v>903</v>
      </c>
      <c r="G223" s="2289"/>
      <c r="H223" s="2310"/>
      <c r="I223" s="2310"/>
      <c r="J223" s="2317" t="s">
        <v>55</v>
      </c>
      <c r="K223" s="2792">
        <v>1.9300000000000001E-2</v>
      </c>
      <c r="L223" s="2598" t="s">
        <v>1798</v>
      </c>
      <c r="M223" s="2310"/>
      <c r="N223" s="2310"/>
      <c r="O223" s="2310"/>
      <c r="P223" s="2310"/>
      <c r="Q223" s="2320"/>
      <c r="R223" s="2289"/>
    </row>
    <row r="224" spans="2:21" customFormat="1" ht="15.6">
      <c r="C224" s="2291"/>
      <c r="D224" s="2316"/>
      <c r="E224" s="2310" t="s">
        <v>618</v>
      </c>
      <c r="F224" s="2311" t="s">
        <v>903</v>
      </c>
      <c r="G224" s="2289"/>
      <c r="H224" s="2310"/>
      <c r="I224" s="2310"/>
      <c r="J224" s="2317" t="s">
        <v>55</v>
      </c>
      <c r="K224" s="2792">
        <f>(K222+K223)/2</f>
        <v>1.9000000000000003E-2</v>
      </c>
      <c r="L224" s="2598" t="s">
        <v>1798</v>
      </c>
      <c r="M224" s="2598" t="s">
        <v>2140</v>
      </c>
      <c r="N224" s="2310"/>
      <c r="O224" s="2310"/>
      <c r="P224" s="2310"/>
      <c r="Q224" s="2320"/>
      <c r="R224" s="2289"/>
    </row>
    <row r="225" spans="3:42" customFormat="1" ht="15.6">
      <c r="C225" s="2291"/>
      <c r="D225" s="2316"/>
      <c r="E225" s="2310" t="s">
        <v>619</v>
      </c>
      <c r="F225" s="2311" t="s">
        <v>903</v>
      </c>
      <c r="G225" s="2289"/>
      <c r="H225" s="2310"/>
      <c r="I225" s="2310"/>
      <c r="J225" s="2317">
        <v>5.9799999999999999E-2</v>
      </c>
      <c r="K225" s="2793">
        <v>1.6299999999999999E-2</v>
      </c>
      <c r="L225" s="2599" t="s">
        <v>1798</v>
      </c>
      <c r="M225" s="2321"/>
      <c r="N225" s="2321"/>
      <c r="O225" s="2321"/>
      <c r="P225" s="2321"/>
      <c r="Q225" s="2322"/>
      <c r="R225" s="2289"/>
    </row>
    <row r="226" spans="3:42" customFormat="1" ht="13.2">
      <c r="C226" s="2291"/>
      <c r="D226" s="2316"/>
      <c r="E226" s="2310"/>
      <c r="F226" s="2310"/>
      <c r="G226" s="2289"/>
      <c r="H226" s="2310"/>
      <c r="I226" s="2310"/>
      <c r="J226" s="2598" t="s">
        <v>2139</v>
      </c>
      <c r="K226" s="2289"/>
      <c r="L226" s="2310"/>
      <c r="M226" s="2310"/>
      <c r="N226" s="2310"/>
      <c r="O226" s="2310"/>
      <c r="P226" s="2310"/>
      <c r="Q226" s="2310"/>
      <c r="R226" s="2289"/>
    </row>
    <row r="227" spans="3:42" customFormat="1" ht="13.8">
      <c r="C227" s="2291"/>
      <c r="D227" s="2291" t="s">
        <v>615</v>
      </c>
      <c r="E227" s="2310"/>
      <c r="F227" s="2310"/>
      <c r="G227" s="2289"/>
      <c r="H227" s="2310"/>
      <c r="I227" s="2310"/>
      <c r="J227" s="2324" t="s">
        <v>624</v>
      </c>
      <c r="K227" s="2325" t="s">
        <v>980</v>
      </c>
      <c r="L227" s="2310"/>
      <c r="M227" s="2310"/>
      <c r="N227" s="2310"/>
      <c r="O227" s="2310"/>
      <c r="P227" s="2310"/>
      <c r="Q227" s="2310"/>
      <c r="R227" s="2289"/>
    </row>
    <row r="228" spans="3:42" customFormat="1" ht="13.2">
      <c r="C228" s="2291"/>
      <c r="D228" s="2316"/>
      <c r="E228" s="2310" t="s">
        <v>620</v>
      </c>
      <c r="F228" s="2310"/>
      <c r="G228" s="2289"/>
      <c r="H228" s="2310"/>
      <c r="I228" s="2310"/>
      <c r="J228" s="2794">
        <v>0.52100000000000002</v>
      </c>
      <c r="K228" s="2326">
        <f>J219*J228</f>
        <v>2.5462807377049181E-2</v>
      </c>
      <c r="L228" s="2310"/>
      <c r="M228" s="2310"/>
      <c r="N228" s="2310"/>
      <c r="O228" s="2310"/>
      <c r="P228" s="2310"/>
      <c r="Q228" s="2310"/>
      <c r="R228" s="2289"/>
    </row>
    <row r="229" spans="3:42" customFormat="1" ht="13.5" customHeight="1">
      <c r="C229" s="2291"/>
      <c r="D229" s="2316"/>
      <c r="E229" s="2310" t="s">
        <v>621</v>
      </c>
      <c r="F229" s="2310"/>
      <c r="G229" s="2289"/>
      <c r="H229" s="2310"/>
      <c r="I229" s="2310"/>
      <c r="J229" s="2794">
        <v>0.22700000000000001</v>
      </c>
      <c r="K229" s="2326">
        <f>J220*J229</f>
        <v>1.0351200000000001E-2</v>
      </c>
      <c r="L229" s="2310"/>
      <c r="M229" s="2310"/>
      <c r="N229" s="2310"/>
      <c r="O229" s="2310"/>
      <c r="P229" s="2310"/>
      <c r="Q229" s="2310"/>
      <c r="R229" s="2289"/>
    </row>
    <row r="230" spans="3:42" customFormat="1" ht="13.2">
      <c r="C230" s="2291"/>
      <c r="D230" s="2316"/>
      <c r="E230" s="2310" t="s">
        <v>1727</v>
      </c>
      <c r="F230" s="2310"/>
      <c r="G230" s="2289"/>
      <c r="H230" s="2310"/>
      <c r="I230" s="2310"/>
      <c r="J230" s="2794">
        <v>1E-3</v>
      </c>
      <c r="K230" s="2326">
        <f>J221*J230</f>
        <v>5.3199999999999999E-5</v>
      </c>
      <c r="L230" s="2310" t="s">
        <v>1726</v>
      </c>
      <c r="M230" s="2310"/>
      <c r="N230" s="2310"/>
      <c r="O230" s="2310"/>
      <c r="P230" s="2310"/>
      <c r="Q230" s="2310"/>
      <c r="R230" s="2310"/>
    </row>
    <row r="231" spans="3:42" customFormat="1" ht="13.2">
      <c r="C231" s="2291"/>
      <c r="D231" s="2316"/>
      <c r="E231" s="2310" t="s">
        <v>622</v>
      </c>
      <c r="F231" s="2310"/>
      <c r="G231" s="2289"/>
      <c r="H231" s="2310"/>
      <c r="I231" s="2310"/>
      <c r="J231" s="2794">
        <v>0.14699999999999999</v>
      </c>
      <c r="K231" s="2326">
        <f>J222*J231</f>
        <v>1.0084199999999998E-2</v>
      </c>
      <c r="L231" s="2310"/>
      <c r="M231" s="2310"/>
      <c r="N231" s="2310"/>
      <c r="O231" s="2310"/>
      <c r="P231" s="2310"/>
      <c r="Q231" s="2310"/>
      <c r="R231" s="2310"/>
    </row>
    <row r="232" spans="3:42" customFormat="1" ht="13.2">
      <c r="C232" s="2291"/>
      <c r="D232" s="2316"/>
      <c r="E232" s="2310" t="s">
        <v>623</v>
      </c>
      <c r="F232" s="2310"/>
      <c r="G232" s="2289"/>
      <c r="H232" s="2310"/>
      <c r="I232" s="2310"/>
      <c r="J232" s="2794" t="s">
        <v>55</v>
      </c>
      <c r="K232" s="2326">
        <v>0</v>
      </c>
      <c r="L232" s="2310"/>
      <c r="M232" s="2310"/>
      <c r="N232" s="2310"/>
      <c r="O232" s="2310"/>
      <c r="P232" s="2310"/>
      <c r="Q232" s="2310"/>
      <c r="R232" s="2310"/>
    </row>
    <row r="233" spans="3:42" customFormat="1" ht="13.2">
      <c r="C233" s="2291"/>
      <c r="D233" s="2316"/>
      <c r="E233" s="2310" t="s">
        <v>855</v>
      </c>
      <c r="F233" s="2168"/>
      <c r="G233" s="2289"/>
      <c r="H233" s="2168"/>
      <c r="I233" s="2168"/>
      <c r="J233" s="2794" t="s">
        <v>55</v>
      </c>
      <c r="K233" s="2326">
        <v>0</v>
      </c>
      <c r="L233" s="2310"/>
      <c r="M233" s="2310"/>
      <c r="N233" s="2310"/>
      <c r="O233" s="2310"/>
      <c r="P233" s="2310"/>
      <c r="Q233" s="2310"/>
      <c r="R233" s="2310"/>
    </row>
    <row r="234" spans="3:42" customFormat="1" ht="13.2">
      <c r="C234" s="2291"/>
      <c r="D234" s="2316"/>
      <c r="E234" s="2310" t="s">
        <v>619</v>
      </c>
      <c r="F234" s="2310"/>
      <c r="G234" s="2289"/>
      <c r="H234" s="2310"/>
      <c r="I234" s="2310"/>
      <c r="J234" s="2794">
        <v>0.10100000000000001</v>
      </c>
      <c r="K234" s="2326">
        <f>J225*J234</f>
        <v>6.0398000000000006E-3</v>
      </c>
      <c r="L234" s="2310"/>
      <c r="M234" s="2310"/>
      <c r="N234" s="2310"/>
      <c r="O234" s="2310"/>
      <c r="P234" s="2310"/>
      <c r="Q234" s="2310"/>
      <c r="R234" s="2310"/>
    </row>
    <row r="235" spans="3:42" customFormat="1" ht="13.2">
      <c r="C235" s="2291"/>
      <c r="D235" s="2316"/>
      <c r="E235" s="2310" t="s">
        <v>1065</v>
      </c>
      <c r="F235" s="2310"/>
      <c r="G235" s="2289"/>
      <c r="H235" s="2310"/>
      <c r="I235" s="2310"/>
      <c r="J235" s="2794">
        <v>3.0000000000000001E-3</v>
      </c>
      <c r="K235" s="2326">
        <v>0</v>
      </c>
      <c r="L235" s="2310"/>
      <c r="M235" s="2310"/>
      <c r="N235" s="2310"/>
      <c r="O235" s="2310"/>
      <c r="P235" s="2310"/>
      <c r="Q235" s="2310"/>
      <c r="R235" s="2310"/>
    </row>
    <row r="236" spans="3:42" customFormat="1" ht="15.6">
      <c r="C236" s="2291"/>
      <c r="D236" s="2316"/>
      <c r="E236" s="2310"/>
      <c r="F236" s="2310"/>
      <c r="G236" s="2289"/>
      <c r="H236" s="2310"/>
      <c r="I236" s="2310"/>
      <c r="J236" s="2311" t="s">
        <v>63</v>
      </c>
      <c r="K236" s="2326">
        <f>SUM(K228:K235)</f>
        <v>5.1991207377049181E-2</v>
      </c>
      <c r="L236" s="2310" t="s">
        <v>903</v>
      </c>
      <c r="M236" s="2310"/>
      <c r="N236" s="2310"/>
      <c r="O236" s="2310"/>
      <c r="P236" s="2310"/>
      <c r="Q236" s="2310"/>
      <c r="R236" s="2310"/>
    </row>
    <row r="237" spans="3:42" customFormat="1" ht="13.2">
      <c r="C237" s="2168"/>
      <c r="D237" s="2168"/>
      <c r="E237" s="2168"/>
      <c r="F237" s="2168"/>
      <c r="G237" s="2289"/>
      <c r="H237" s="2168"/>
      <c r="I237" s="2168"/>
      <c r="J237" s="2795"/>
      <c r="K237" s="2168"/>
      <c r="L237" s="2168"/>
      <c r="M237" s="2168"/>
      <c r="N237" s="2168"/>
      <c r="O237" s="2168"/>
      <c r="P237" s="2168"/>
      <c r="Q237" s="2168"/>
      <c r="R237" s="2168"/>
    </row>
    <row r="238" spans="3:42" customFormat="1" ht="15.6" outlineLevel="1">
      <c r="C238" s="8"/>
      <c r="D238" s="354" t="s">
        <v>2174</v>
      </c>
      <c r="E238" s="8"/>
      <c r="F238" s="8"/>
      <c r="G238" s="2168"/>
      <c r="H238" s="8"/>
      <c r="I238" s="8"/>
      <c r="J238" s="8"/>
      <c r="K238" s="8"/>
      <c r="L238" s="8"/>
      <c r="M238" s="8"/>
      <c r="N238" s="8"/>
      <c r="O238" s="2168"/>
      <c r="P238" s="8"/>
      <c r="Q238" s="1188"/>
      <c r="R238" s="2168"/>
      <c r="AE238" t="s">
        <v>1728</v>
      </c>
      <c r="AI238" t="s">
        <v>1729</v>
      </c>
      <c r="AJ238" s="2405">
        <v>21241</v>
      </c>
      <c r="AK238" s="2407" t="s">
        <v>1730</v>
      </c>
      <c r="AL238" s="2327" t="s">
        <v>1731</v>
      </c>
      <c r="AM238" s="2406">
        <v>120.08</v>
      </c>
      <c r="AN238" s="2407" t="s">
        <v>1</v>
      </c>
      <c r="AO238" s="2405">
        <f>AJ238/AM238</f>
        <v>176.89040639573616</v>
      </c>
      <c r="AP238" s="2407" t="s">
        <v>1797</v>
      </c>
    </row>
    <row r="239" spans="3:42" customFormat="1" ht="15.6" outlineLevel="1">
      <c r="C239" s="8"/>
      <c r="D239" s="2411" t="s">
        <v>893</v>
      </c>
      <c r="E239" s="1367"/>
      <c r="F239" s="1365" t="s">
        <v>982</v>
      </c>
      <c r="G239" s="1365"/>
      <c r="H239" s="1365"/>
      <c r="I239" s="1366" t="s">
        <v>894</v>
      </c>
      <c r="J239" s="1363" t="s">
        <v>895</v>
      </c>
      <c r="K239" s="1364"/>
      <c r="L239" s="1364"/>
      <c r="M239" s="1364"/>
      <c r="N239" s="1364"/>
      <c r="O239" s="1364"/>
      <c r="P239" s="1367" t="s">
        <v>983</v>
      </c>
      <c r="Q239" s="1368"/>
      <c r="R239" s="2168"/>
      <c r="T239" s="2328"/>
      <c r="AE239" s="1363" t="s">
        <v>893</v>
      </c>
      <c r="AF239" s="1364"/>
      <c r="AG239" s="2329" t="s">
        <v>1732</v>
      </c>
      <c r="AH239" s="2329" t="s">
        <v>1733</v>
      </c>
      <c r="AI239" s="2329" t="s">
        <v>1734</v>
      </c>
      <c r="AJ239" s="2329" t="s">
        <v>1735</v>
      </c>
      <c r="AK239" s="2329" t="s">
        <v>1736</v>
      </c>
      <c r="AL239" s="2329" t="s">
        <v>1737</v>
      </c>
      <c r="AM239" s="2329" t="s">
        <v>1738</v>
      </c>
      <c r="AN239" s="2329" t="s">
        <v>1739</v>
      </c>
    </row>
    <row r="240" spans="3:42" customFormat="1" ht="13.2" outlineLevel="1">
      <c r="C240" s="8"/>
      <c r="D240" s="2412" t="s">
        <v>896</v>
      </c>
      <c r="E240" s="2412" t="s">
        <v>897</v>
      </c>
      <c r="F240" s="1369" t="s">
        <v>898</v>
      </c>
      <c r="G240" s="1370"/>
      <c r="H240" s="1370">
        <v>1</v>
      </c>
      <c r="I240" s="2796">
        <f>メイン!C15</f>
        <v>3</v>
      </c>
      <c r="J240" s="1366">
        <v>1</v>
      </c>
      <c r="K240" s="1366">
        <v>2</v>
      </c>
      <c r="L240" s="1366">
        <v>3</v>
      </c>
      <c r="M240" s="1366">
        <v>4</v>
      </c>
      <c r="N240" s="1366">
        <v>5</v>
      </c>
      <c r="O240" s="1366">
        <v>6</v>
      </c>
      <c r="P240" s="1366">
        <v>7</v>
      </c>
      <c r="Q240" s="1366">
        <v>8</v>
      </c>
      <c r="R240" s="2168"/>
      <c r="S240" s="1401" t="s">
        <v>941</v>
      </c>
      <c r="T240" s="2376"/>
      <c r="U240" s="1397"/>
      <c r="V240" s="1397"/>
      <c r="W240" s="1397"/>
      <c r="X240" s="1397"/>
      <c r="Y240" s="1397"/>
      <c r="Z240" s="1397"/>
      <c r="AA240" s="1397"/>
      <c r="AE240" s="1366" t="s">
        <v>896</v>
      </c>
      <c r="AF240" s="1363" t="s">
        <v>897</v>
      </c>
      <c r="AG240" s="2151"/>
      <c r="AH240" s="2151"/>
      <c r="AI240" s="2151"/>
      <c r="AJ240" s="2151"/>
      <c r="AK240" s="2151"/>
      <c r="AL240" s="2151"/>
      <c r="AM240" s="2151"/>
      <c r="AN240" s="2151"/>
    </row>
    <row r="241" spans="3:40" customFormat="1" ht="13.2" outlineLevel="1">
      <c r="C241" s="8"/>
      <c r="D241" s="2413"/>
      <c r="E241" s="358"/>
      <c r="F241" s="1366" t="s">
        <v>1740</v>
      </c>
      <c r="G241" s="1366" t="s">
        <v>1781</v>
      </c>
      <c r="H241" s="1366">
        <v>2</v>
      </c>
      <c r="I241" s="2330">
        <f>HLOOKUP($I$240,$J$240:$Q$264,H241)</f>
        <v>1025.4746835443038</v>
      </c>
      <c r="J241" s="2797">
        <f>(J243-$AO$238)*0.9+$AO$238</f>
        <v>1302.3550966022651</v>
      </c>
      <c r="K241" s="2797">
        <f t="shared" ref="K241:Q241" si="48">(K243-$AO$238)*0.9+$AO$238</f>
        <v>1149.9067288474353</v>
      </c>
      <c r="L241" s="2797">
        <f t="shared" si="48"/>
        <v>1025.4746835443038</v>
      </c>
      <c r="M241" s="2797">
        <f t="shared" si="48"/>
        <v>1025.9093937375085</v>
      </c>
      <c r="N241" s="2797">
        <f t="shared" si="48"/>
        <v>950.42721518987344</v>
      </c>
      <c r="O241" s="2797">
        <f t="shared" si="48"/>
        <v>864.3845769487009</v>
      </c>
      <c r="P241" s="2797">
        <f t="shared" si="48"/>
        <v>753.29363757495003</v>
      </c>
      <c r="Q241" s="2797">
        <f t="shared" si="48"/>
        <v>785.64956695536307</v>
      </c>
      <c r="R241" s="2168"/>
      <c r="S241" s="2377" t="s">
        <v>1770</v>
      </c>
      <c r="T241" s="1399">
        <v>1</v>
      </c>
      <c r="U241" s="1399">
        <v>2</v>
      </c>
      <c r="V241" s="1399">
        <v>3</v>
      </c>
      <c r="W241" s="1399">
        <v>4</v>
      </c>
      <c r="X241" s="1399">
        <v>5</v>
      </c>
      <c r="Y241" s="1399">
        <v>6</v>
      </c>
      <c r="Z241" s="1399">
        <v>7</v>
      </c>
      <c r="AA241" s="1399">
        <v>8</v>
      </c>
      <c r="AE241" s="1365"/>
      <c r="AF241" s="1365"/>
      <c r="AG241" s="2331"/>
      <c r="AH241" s="2331"/>
      <c r="AI241" s="2331"/>
      <c r="AJ241" s="2331"/>
      <c r="AK241" s="2331"/>
      <c r="AL241" s="2331"/>
      <c r="AM241" s="2331"/>
      <c r="AN241" s="2331"/>
    </row>
    <row r="242" spans="3:40" customFormat="1" ht="13.2" outlineLevel="1">
      <c r="C242" s="8"/>
      <c r="D242" s="2413" t="s">
        <v>886</v>
      </c>
      <c r="E242" s="358" t="s">
        <v>885</v>
      </c>
      <c r="F242" s="1366" t="s">
        <v>899</v>
      </c>
      <c r="G242" s="1366" t="s">
        <v>1782</v>
      </c>
      <c r="H242" s="1366">
        <v>3</v>
      </c>
      <c r="I242" s="2330">
        <f t="shared" ref="I242:I263" si="49">HLOOKUP($I$240,$J$240:$Q$264,H242)</f>
        <v>1214.0489673550967</v>
      </c>
      <c r="J242" s="2797">
        <f>(J243-$AO$238)*1.1+$AO$238</f>
        <v>1552.4583610926049</v>
      </c>
      <c r="K242" s="2797">
        <f t="shared" ref="K242:Q242" si="50">(K243-$AO$238)*1.1+$AO$238</f>
        <v>1366.1325782811462</v>
      </c>
      <c r="L242" s="2797">
        <f t="shared" si="50"/>
        <v>1214.0489673550967</v>
      </c>
      <c r="M242" s="2797">
        <f t="shared" si="50"/>
        <v>1214.5802798134578</v>
      </c>
      <c r="N242" s="2797">
        <f t="shared" si="50"/>
        <v>1122.3242838107928</v>
      </c>
      <c r="O242" s="2797">
        <f t="shared" si="50"/>
        <v>1017.1610592938042</v>
      </c>
      <c r="P242" s="2797">
        <f t="shared" si="50"/>
        <v>881.38324450366429</v>
      </c>
      <c r="Q242" s="2797">
        <f t="shared" si="50"/>
        <v>920.92938041305797</v>
      </c>
      <c r="R242" s="2168"/>
      <c r="S242" s="2377" t="s">
        <v>894</v>
      </c>
      <c r="T242" s="1400">
        <f>MAX(J241:J264)</f>
        <v>1552.4583610926049</v>
      </c>
      <c r="U242" s="1400">
        <f t="shared" ref="U242:AA242" si="51">MAX(K241:K264)</f>
        <v>1366.1325782811462</v>
      </c>
      <c r="V242" s="1400">
        <f t="shared" si="51"/>
        <v>1214.0489673550967</v>
      </c>
      <c r="W242" s="1400">
        <f t="shared" si="51"/>
        <v>1214.5802798134578</v>
      </c>
      <c r="X242" s="1400">
        <f t="shared" si="51"/>
        <v>1122.3242838107928</v>
      </c>
      <c r="Y242" s="1400">
        <f t="shared" si="51"/>
        <v>1017.1610592938042</v>
      </c>
      <c r="Z242" s="1400">
        <f t="shared" si="51"/>
        <v>881.38324450366429</v>
      </c>
      <c r="AA242" s="1400">
        <f t="shared" si="51"/>
        <v>920.92938041305797</v>
      </c>
      <c r="AE242" s="1369" t="s">
        <v>886</v>
      </c>
      <c r="AF242" s="1369" t="s">
        <v>885</v>
      </c>
      <c r="AG242" s="2332"/>
      <c r="AH242" s="2332"/>
      <c r="AI242" s="2332"/>
      <c r="AJ242" s="2332"/>
      <c r="AK242" s="2332"/>
      <c r="AL242" s="2332"/>
      <c r="AM242" s="2332"/>
      <c r="AN242" s="2332"/>
    </row>
    <row r="243" spans="3:40" customFormat="1" ht="13.2" outlineLevel="1">
      <c r="C243" s="8"/>
      <c r="D243" s="2413"/>
      <c r="E243" s="358"/>
      <c r="F243" s="1366" t="s">
        <v>1741</v>
      </c>
      <c r="G243" s="1366" t="s">
        <v>1783</v>
      </c>
      <c r="H243" s="1366">
        <v>4</v>
      </c>
      <c r="I243" s="2330">
        <f t="shared" si="49"/>
        <v>1119.7618254497002</v>
      </c>
      <c r="J243" s="2797">
        <f>AG243/$AM$238</f>
        <v>1427.406728847435</v>
      </c>
      <c r="K243" s="2797">
        <f t="shared" ref="K243:Q243" si="52">AH243/$AM$238</f>
        <v>1258.0196535642906</v>
      </c>
      <c r="L243" s="2797">
        <f t="shared" si="52"/>
        <v>1119.7618254497002</v>
      </c>
      <c r="M243" s="2797">
        <f t="shared" si="52"/>
        <v>1120.244836775483</v>
      </c>
      <c r="N243" s="2797">
        <f t="shared" si="52"/>
        <v>1036.3757495003331</v>
      </c>
      <c r="O243" s="2797">
        <f t="shared" si="52"/>
        <v>940.7728181212525</v>
      </c>
      <c r="P243" s="2797">
        <f t="shared" si="52"/>
        <v>817.3384410393071</v>
      </c>
      <c r="Q243" s="2797">
        <f t="shared" si="52"/>
        <v>853.28947368421052</v>
      </c>
      <c r="R243" s="2168"/>
      <c r="S243" s="2378" t="s">
        <v>1771</v>
      </c>
      <c r="T243" s="2333">
        <f>J241</f>
        <v>1302.3550966022651</v>
      </c>
      <c r="U243" s="2333">
        <f>K241</f>
        <v>1149.9067288474353</v>
      </c>
      <c r="V243" s="2333">
        <f>L249</f>
        <v>812.86392405063293</v>
      </c>
      <c r="W243" s="2333">
        <f>M249</f>
        <v>829.59277148567617</v>
      </c>
      <c r="X243" s="2333">
        <f>N249</f>
        <v>776.71552298467691</v>
      </c>
      <c r="Y243" s="2333">
        <f>O249</f>
        <v>763.17954696868753</v>
      </c>
      <c r="Z243" s="2333">
        <f>P249</f>
        <v>693.27365089940042</v>
      </c>
      <c r="AA243" s="2333">
        <f>Q241</f>
        <v>785.64956695536307</v>
      </c>
      <c r="AE243" s="1369" t="s">
        <v>1742</v>
      </c>
      <c r="AF243" s="1369" t="s">
        <v>1742</v>
      </c>
      <c r="AG243" s="2334">
        <v>171403</v>
      </c>
      <c r="AH243" s="2334">
        <v>151063</v>
      </c>
      <c r="AI243" s="2334">
        <v>134461</v>
      </c>
      <c r="AJ243" s="2334">
        <v>134519</v>
      </c>
      <c r="AK243" s="2334">
        <v>124448</v>
      </c>
      <c r="AL243" s="2334">
        <v>112968</v>
      </c>
      <c r="AM243" s="2334">
        <v>98146</v>
      </c>
      <c r="AN243" s="2334">
        <v>102463</v>
      </c>
    </row>
    <row r="244" spans="3:40" customFormat="1" ht="13.2" outlineLevel="1">
      <c r="C244" s="8"/>
      <c r="D244" s="2041"/>
      <c r="E244" s="2414"/>
      <c r="F244" s="1368" t="s">
        <v>1148</v>
      </c>
      <c r="G244" s="1366" t="s">
        <v>1743</v>
      </c>
      <c r="H244" s="1366">
        <v>5</v>
      </c>
      <c r="I244" s="2330">
        <f t="shared" si="49"/>
        <v>931.18754163890742</v>
      </c>
      <c r="J244" s="2797">
        <f>(J243-$AO$238)*0.8+$AO$238</f>
        <v>1177.3034643570954</v>
      </c>
      <c r="K244" s="2797">
        <f t="shared" ref="K244:Q244" si="53">(K243-$AO$238)*0.8+$AO$238</f>
        <v>1041.7938041305797</v>
      </c>
      <c r="L244" s="2797">
        <f t="shared" si="53"/>
        <v>931.18754163890742</v>
      </c>
      <c r="M244" s="2797">
        <f t="shared" si="53"/>
        <v>931.57395069953373</v>
      </c>
      <c r="N244" s="2797">
        <f t="shared" si="53"/>
        <v>864.47868087941379</v>
      </c>
      <c r="O244" s="2797">
        <f t="shared" si="53"/>
        <v>787.99633577614929</v>
      </c>
      <c r="P244" s="2797">
        <f t="shared" si="53"/>
        <v>689.24883411059295</v>
      </c>
      <c r="Q244" s="2797">
        <f t="shared" si="53"/>
        <v>718.00966022651562</v>
      </c>
      <c r="R244" s="2168"/>
      <c r="S244" s="2377" t="s">
        <v>1774</v>
      </c>
      <c r="T244" s="2333" t="s">
        <v>1772</v>
      </c>
      <c r="U244" s="2333" t="s">
        <v>1772</v>
      </c>
      <c r="V244" s="2333" t="s">
        <v>1773</v>
      </c>
      <c r="W244" s="2333" t="s">
        <v>1773</v>
      </c>
      <c r="X244" s="2333" t="s">
        <v>1773</v>
      </c>
      <c r="Y244" s="2333" t="s">
        <v>1773</v>
      </c>
      <c r="Z244" s="2333" t="s">
        <v>1773</v>
      </c>
      <c r="AA244" s="2333" t="s">
        <v>1772</v>
      </c>
      <c r="AE244" s="2335" t="s">
        <v>1744</v>
      </c>
      <c r="AF244" s="2335" t="s">
        <v>1744</v>
      </c>
      <c r="AG244" s="2336"/>
      <c r="AH244" s="2336"/>
      <c r="AI244" s="2336"/>
      <c r="AJ244" s="2336"/>
      <c r="AK244" s="2336"/>
      <c r="AL244" s="2336"/>
      <c r="AM244" s="2336"/>
      <c r="AN244" s="2336"/>
    </row>
    <row r="245" spans="3:40" customFormat="1" ht="13.2" outlineLevel="1">
      <c r="C245" s="8"/>
      <c r="D245" s="2415"/>
      <c r="E245" s="2416"/>
      <c r="F245" s="1366" t="s">
        <v>1740</v>
      </c>
      <c r="G245" s="1366" t="s">
        <v>1784</v>
      </c>
      <c r="H245" s="1366">
        <v>6</v>
      </c>
      <c r="I245" s="2330">
        <f t="shared" si="49"/>
        <v>1006.9620253164558</v>
      </c>
      <c r="J245" s="2797">
        <f>(J247-$AO$238)*0.9+$AO$238</f>
        <v>1290.093271152565</v>
      </c>
      <c r="K245" s="2797">
        <f t="shared" ref="K245:Q245" si="54">(K247-$AO$238)*0.9+$AO$238</f>
        <v>1138.6117588274483</v>
      </c>
      <c r="L245" s="2797">
        <f t="shared" si="54"/>
        <v>1006.9620253164558</v>
      </c>
      <c r="M245" s="2797">
        <f t="shared" si="54"/>
        <v>993.80079946702199</v>
      </c>
      <c r="N245" s="2797">
        <f t="shared" si="54"/>
        <v>919.41289140572962</v>
      </c>
      <c r="O245" s="2797">
        <f t="shared" si="54"/>
        <v>795.88024650233172</v>
      </c>
      <c r="P245" s="2797">
        <f t="shared" si="54"/>
        <v>664.48534310459695</v>
      </c>
      <c r="Q245" s="2797">
        <f t="shared" si="54"/>
        <v>534.03481012658233</v>
      </c>
      <c r="R245" s="2289"/>
      <c r="S245" s="2122" t="s">
        <v>1745</v>
      </c>
      <c r="AE245" s="1365"/>
      <c r="AF245" s="1365"/>
      <c r="AG245" s="2331"/>
      <c r="AH245" s="2331"/>
      <c r="AI245" s="2331"/>
      <c r="AJ245" s="2331"/>
      <c r="AK245" s="2331"/>
      <c r="AL245" s="2331"/>
      <c r="AM245" s="2331"/>
      <c r="AN245" s="2331"/>
    </row>
    <row r="246" spans="3:40" customFormat="1" ht="13.2" outlineLevel="1">
      <c r="C246" s="8"/>
      <c r="D246" s="2041" t="s">
        <v>886</v>
      </c>
      <c r="E246" s="2413" t="s">
        <v>889</v>
      </c>
      <c r="F246" s="1366" t="s">
        <v>899</v>
      </c>
      <c r="G246" s="1366" t="s">
        <v>1785</v>
      </c>
      <c r="H246" s="1366">
        <v>7</v>
      </c>
      <c r="I246" s="2330">
        <f t="shared" si="49"/>
        <v>1191.4223850766159</v>
      </c>
      <c r="J246" s="2797">
        <f>(J247-$AO$238)*1.1+$AO$238</f>
        <v>1537.4716855429715</v>
      </c>
      <c r="K246" s="2797">
        <f t="shared" ref="K246:Q246" si="55">(K247-$AO$238)*1.1+$AO$238</f>
        <v>1352.3276149233843</v>
      </c>
      <c r="L246" s="2797">
        <f t="shared" si="55"/>
        <v>1191.4223850766159</v>
      </c>
      <c r="M246" s="2797">
        <f t="shared" si="55"/>
        <v>1175.3364423717524</v>
      </c>
      <c r="N246" s="2797">
        <f t="shared" si="55"/>
        <v>1084.4178880746172</v>
      </c>
      <c r="O246" s="2797">
        <f t="shared" si="55"/>
        <v>933.43354430379748</v>
      </c>
      <c r="P246" s="2797">
        <f t="shared" si="55"/>
        <v>772.83977348434382</v>
      </c>
      <c r="Q246" s="2797">
        <f t="shared" si="55"/>
        <v>613.40023317788155</v>
      </c>
      <c r="R246" s="2289"/>
      <c r="S246" s="2122" t="s">
        <v>1800</v>
      </c>
      <c r="AE246" s="1369" t="s">
        <v>886</v>
      </c>
      <c r="AF246" s="1369" t="s">
        <v>889</v>
      </c>
      <c r="AG246" s="2332"/>
      <c r="AH246" s="2332"/>
      <c r="AI246" s="2332"/>
      <c r="AJ246" s="2332"/>
      <c r="AK246" s="2332"/>
      <c r="AL246" s="2332"/>
      <c r="AM246" s="2332"/>
      <c r="AN246" s="2332"/>
    </row>
    <row r="247" spans="3:40" customFormat="1" ht="13.2" outlineLevel="1">
      <c r="C247" s="8"/>
      <c r="D247" s="2041"/>
      <c r="E247" s="2413"/>
      <c r="F247" s="1366" t="s">
        <v>1741</v>
      </c>
      <c r="G247" s="1366" t="s">
        <v>1786</v>
      </c>
      <c r="H247" s="1366">
        <v>8</v>
      </c>
      <c r="I247" s="2330">
        <f t="shared" si="49"/>
        <v>1099.1922051965357</v>
      </c>
      <c r="J247" s="2797">
        <f>AG247/$AM$238</f>
        <v>1413.7824783477681</v>
      </c>
      <c r="K247" s="2797">
        <f t="shared" ref="K247:Q247" si="56">AH247/$AM$238</f>
        <v>1245.4696868754163</v>
      </c>
      <c r="L247" s="2797">
        <f t="shared" si="56"/>
        <v>1099.1922051965357</v>
      </c>
      <c r="M247" s="2797">
        <f t="shared" si="56"/>
        <v>1084.5686209193871</v>
      </c>
      <c r="N247" s="2797">
        <f t="shared" si="56"/>
        <v>1001.9153897401733</v>
      </c>
      <c r="O247" s="2797">
        <f t="shared" si="56"/>
        <v>864.6568954030646</v>
      </c>
      <c r="P247" s="2797">
        <f t="shared" si="56"/>
        <v>718.66255829447039</v>
      </c>
      <c r="Q247" s="2797">
        <f t="shared" si="56"/>
        <v>573.71752165223188</v>
      </c>
      <c r="R247" s="2289"/>
      <c r="S247" s="2122" t="s">
        <v>1746</v>
      </c>
      <c r="AE247" s="1369" t="s">
        <v>1742</v>
      </c>
      <c r="AF247" s="1369" t="s">
        <v>1747</v>
      </c>
      <c r="AG247" s="2334">
        <v>169767</v>
      </c>
      <c r="AH247" s="2334">
        <v>149556</v>
      </c>
      <c r="AI247" s="2334">
        <v>131991</v>
      </c>
      <c r="AJ247" s="2334">
        <v>130235</v>
      </c>
      <c r="AK247" s="2334">
        <v>120310</v>
      </c>
      <c r="AL247" s="2334">
        <v>103828</v>
      </c>
      <c r="AM247" s="2334">
        <v>86297</v>
      </c>
      <c r="AN247" s="2334">
        <v>68892</v>
      </c>
    </row>
    <row r="248" spans="3:40" customFormat="1" ht="13.2" outlineLevel="1">
      <c r="C248" s="8"/>
      <c r="D248" s="2417"/>
      <c r="E248" s="2414"/>
      <c r="F248" s="1368" t="s">
        <v>1148</v>
      </c>
      <c r="G248" s="1366" t="s">
        <v>1787</v>
      </c>
      <c r="H248" s="1366">
        <v>9</v>
      </c>
      <c r="I248" s="2330">
        <f t="shared" si="49"/>
        <v>914.73184543637581</v>
      </c>
      <c r="J248" s="2797">
        <f>(J247-$AO$238)*0.8+$AO$238</f>
        <v>1166.4040639573618</v>
      </c>
      <c r="K248" s="2797">
        <f t="shared" ref="K248:Q248" si="57">(K247-$AO$238)*0.8+$AO$238</f>
        <v>1031.7538307794803</v>
      </c>
      <c r="L248" s="2797">
        <f t="shared" si="57"/>
        <v>914.73184543637581</v>
      </c>
      <c r="M248" s="2797">
        <f t="shared" si="57"/>
        <v>903.03297801465692</v>
      </c>
      <c r="N248" s="2797">
        <f t="shared" si="57"/>
        <v>836.91039307128585</v>
      </c>
      <c r="O248" s="2797">
        <f t="shared" si="57"/>
        <v>727.10359760159895</v>
      </c>
      <c r="P248" s="2797">
        <f t="shared" si="57"/>
        <v>610.30812791472363</v>
      </c>
      <c r="Q248" s="2797">
        <f t="shared" si="57"/>
        <v>494.35209860093278</v>
      </c>
      <c r="R248" s="2289"/>
      <c r="S248" s="2122" t="s">
        <v>1748</v>
      </c>
      <c r="AE248" s="2335" t="s">
        <v>1744</v>
      </c>
      <c r="AF248" s="2337" t="s">
        <v>1749</v>
      </c>
      <c r="AG248" s="2336"/>
      <c r="AH248" s="2336"/>
      <c r="AI248" s="2336"/>
      <c r="AJ248" s="2336"/>
      <c r="AK248" s="2336"/>
      <c r="AL248" s="2336"/>
      <c r="AM248" s="2336"/>
      <c r="AN248" s="2336"/>
    </row>
    <row r="249" spans="3:40" customFormat="1" ht="13.2" outlineLevel="1">
      <c r="C249" s="8"/>
      <c r="D249" s="2416"/>
      <c r="E249" s="2416"/>
      <c r="F249" s="1366" t="s">
        <v>1740</v>
      </c>
      <c r="G249" s="1366" t="s">
        <v>1750</v>
      </c>
      <c r="H249" s="1366">
        <v>10</v>
      </c>
      <c r="I249" s="2330">
        <f t="shared" si="49"/>
        <v>812.86392405063293</v>
      </c>
      <c r="J249" s="2797">
        <f>(J251-$AO$238)*0.9+$AO$238</f>
        <v>917.29930046635582</v>
      </c>
      <c r="K249" s="2797">
        <f t="shared" ref="K249:Q249" si="58">(K251-$AO$238)*0.9+$AO$238</f>
        <v>867.03031312458359</v>
      </c>
      <c r="L249" s="2797">
        <f t="shared" si="58"/>
        <v>812.86392405063293</v>
      </c>
      <c r="M249" s="2797">
        <f t="shared" si="58"/>
        <v>829.59277148567617</v>
      </c>
      <c r="N249" s="2797">
        <f t="shared" si="58"/>
        <v>776.71552298467691</v>
      </c>
      <c r="O249" s="2797">
        <f t="shared" si="58"/>
        <v>763.17954696868753</v>
      </c>
      <c r="P249" s="2797">
        <f t="shared" si="58"/>
        <v>693.27365089940042</v>
      </c>
      <c r="Q249" s="2797">
        <f t="shared" si="58"/>
        <v>785.64956695536307</v>
      </c>
      <c r="R249" s="2168"/>
      <c r="AE249" s="1365"/>
      <c r="AF249" s="1365"/>
      <c r="AG249" s="2331"/>
      <c r="AH249" s="2331"/>
      <c r="AI249" s="2331"/>
      <c r="AJ249" s="2331"/>
      <c r="AK249" s="2331"/>
      <c r="AL249" s="2331"/>
      <c r="AM249" s="2331"/>
      <c r="AN249" s="2331"/>
    </row>
    <row r="250" spans="3:40" customFormat="1" ht="13.2" outlineLevel="1">
      <c r="C250" s="8"/>
      <c r="D250" s="2413" t="s">
        <v>888</v>
      </c>
      <c r="E250" s="2413" t="s">
        <v>885</v>
      </c>
      <c r="F250" s="1366" t="s">
        <v>899</v>
      </c>
      <c r="G250" s="1366" t="s">
        <v>1751</v>
      </c>
      <c r="H250" s="1366">
        <v>11</v>
      </c>
      <c r="I250" s="2330">
        <f t="shared" si="49"/>
        <v>954.1913724183878</v>
      </c>
      <c r="J250" s="2797">
        <f>(J251-$AO$238)*1.1+$AO$238</f>
        <v>1081.8346102598271</v>
      </c>
      <c r="K250" s="2797">
        <f t="shared" ref="K250:Q250" si="59">(K251-$AO$238)*1.1+$AO$238</f>
        <v>1020.3947368421053</v>
      </c>
      <c r="L250" s="2797">
        <f t="shared" si="59"/>
        <v>954.1913724183878</v>
      </c>
      <c r="M250" s="2797">
        <f t="shared" si="59"/>
        <v>974.63774150566292</v>
      </c>
      <c r="N250" s="2797">
        <f t="shared" si="59"/>
        <v>910.00999333777497</v>
      </c>
      <c r="O250" s="2797">
        <f t="shared" si="59"/>
        <v>893.46602265156571</v>
      </c>
      <c r="P250" s="2797">
        <f t="shared" si="59"/>
        <v>808.02548301132583</v>
      </c>
      <c r="Q250" s="2797">
        <f t="shared" si="59"/>
        <v>920.92938041305797</v>
      </c>
      <c r="R250" s="2168"/>
      <c r="AE250" s="1369" t="s">
        <v>888</v>
      </c>
      <c r="AF250" s="1369" t="s">
        <v>885</v>
      </c>
      <c r="AG250" s="2332"/>
      <c r="AH250" s="2332"/>
      <c r="AI250" s="2332"/>
      <c r="AJ250" s="2332"/>
      <c r="AK250" s="2332"/>
      <c r="AL250" s="2332"/>
      <c r="AM250" s="2332"/>
      <c r="AN250" s="2332"/>
    </row>
    <row r="251" spans="3:40" customFormat="1" ht="13.2" outlineLevel="1">
      <c r="C251" s="8"/>
      <c r="D251" s="2413"/>
      <c r="E251" s="2413"/>
      <c r="F251" s="1366" t="s">
        <v>1741</v>
      </c>
      <c r="G251" s="1366" t="s">
        <v>1752</v>
      </c>
      <c r="H251" s="1366">
        <v>12</v>
      </c>
      <c r="I251" s="2330">
        <f t="shared" si="49"/>
        <v>883.52764823451037</v>
      </c>
      <c r="J251" s="2797">
        <f>AG251/$AM$238</f>
        <v>999.56695536309132</v>
      </c>
      <c r="K251" s="2797">
        <f t="shared" ref="K251:Q251" si="60">AH251/$AM$238</f>
        <v>943.71252498334445</v>
      </c>
      <c r="L251" s="2797">
        <f t="shared" si="60"/>
        <v>883.52764823451037</v>
      </c>
      <c r="M251" s="2797">
        <f t="shared" si="60"/>
        <v>902.11525649566954</v>
      </c>
      <c r="N251" s="2797">
        <f t="shared" si="60"/>
        <v>843.36275816122588</v>
      </c>
      <c r="O251" s="2797">
        <f t="shared" si="60"/>
        <v>828.32278481012656</v>
      </c>
      <c r="P251" s="2797">
        <f t="shared" si="60"/>
        <v>750.64956695536307</v>
      </c>
      <c r="Q251" s="2797">
        <f t="shared" si="60"/>
        <v>853.28947368421052</v>
      </c>
      <c r="R251" s="2168"/>
      <c r="AE251" s="1369" t="s">
        <v>1753</v>
      </c>
      <c r="AF251" s="1369" t="s">
        <v>1742</v>
      </c>
      <c r="AG251" s="2334">
        <v>120028</v>
      </c>
      <c r="AH251" s="2334">
        <v>113321</v>
      </c>
      <c r="AI251" s="2334">
        <v>106094</v>
      </c>
      <c r="AJ251" s="2334">
        <v>108326</v>
      </c>
      <c r="AK251" s="2334">
        <v>101271</v>
      </c>
      <c r="AL251" s="2334">
        <v>99465</v>
      </c>
      <c r="AM251" s="2334">
        <v>90138</v>
      </c>
      <c r="AN251" s="2334">
        <v>102463</v>
      </c>
    </row>
    <row r="252" spans="3:40" customFormat="1" ht="13.2" outlineLevel="1">
      <c r="C252" s="8"/>
      <c r="D252" s="2417"/>
      <c r="E252" s="2414"/>
      <c r="F252" s="1368" t="s">
        <v>1148</v>
      </c>
      <c r="G252" s="1366" t="s">
        <v>1754</v>
      </c>
      <c r="H252" s="1366">
        <v>13</v>
      </c>
      <c r="I252" s="2330">
        <f t="shared" si="49"/>
        <v>742.2001998667555</v>
      </c>
      <c r="J252" s="2797">
        <f>(J251-$AO$238)*0.8+$AO$238</f>
        <v>835.03164556962031</v>
      </c>
      <c r="K252" s="2797">
        <f t="shared" ref="K252:Q252" si="61">(K251-$AO$238)*0.8+$AO$238</f>
        <v>790.34810126582283</v>
      </c>
      <c r="L252" s="2797">
        <f t="shared" si="61"/>
        <v>742.2001998667555</v>
      </c>
      <c r="M252" s="2797">
        <f t="shared" si="61"/>
        <v>757.07028647568291</v>
      </c>
      <c r="N252" s="2797">
        <f t="shared" si="61"/>
        <v>710.06828780812793</v>
      </c>
      <c r="O252" s="2797">
        <f t="shared" si="61"/>
        <v>698.0363091272485</v>
      </c>
      <c r="P252" s="2797">
        <f t="shared" si="61"/>
        <v>635.89773484343777</v>
      </c>
      <c r="Q252" s="2797">
        <f t="shared" si="61"/>
        <v>718.00966022651562</v>
      </c>
      <c r="R252" s="2168"/>
      <c r="AE252" s="2337" t="s">
        <v>1755</v>
      </c>
      <c r="AF252" s="2335" t="s">
        <v>1744</v>
      </c>
      <c r="AG252" s="2336"/>
      <c r="AH252" s="2336"/>
      <c r="AI252" s="2336"/>
      <c r="AJ252" s="2336"/>
      <c r="AK252" s="2336"/>
      <c r="AL252" s="2336"/>
      <c r="AM252" s="2336"/>
      <c r="AN252" s="2336"/>
    </row>
    <row r="253" spans="3:40" customFormat="1" ht="13.2" outlineLevel="1">
      <c r="C253" s="8"/>
      <c r="D253" s="2415"/>
      <c r="E253" s="2416"/>
      <c r="F253" s="1366" t="s">
        <v>1740</v>
      </c>
      <c r="G253" s="1366" t="s">
        <v>1756</v>
      </c>
      <c r="H253" s="1366">
        <v>14</v>
      </c>
      <c r="I253" s="2330">
        <f t="shared" si="49"/>
        <v>794.35876082611594</v>
      </c>
      <c r="J253" s="2797">
        <f>(J255-$AO$238)*0.9+$AO$238</f>
        <v>905.03747501665555</v>
      </c>
      <c r="K253" s="2797">
        <f t="shared" ref="K253:Q253" si="62">(K255-$AO$238)*0.9+$AO$238</f>
        <v>855.74283810792804</v>
      </c>
      <c r="L253" s="2797">
        <f t="shared" si="62"/>
        <v>794.35876082611594</v>
      </c>
      <c r="M253" s="2797">
        <f t="shared" si="62"/>
        <v>797.4841772151899</v>
      </c>
      <c r="N253" s="2797">
        <f t="shared" si="62"/>
        <v>745.70869420386407</v>
      </c>
      <c r="O253" s="2797">
        <f t="shared" si="62"/>
        <v>694.68271152564967</v>
      </c>
      <c r="P253" s="2797">
        <f t="shared" si="62"/>
        <v>604.45786142571626</v>
      </c>
      <c r="Q253" s="2797">
        <f t="shared" si="62"/>
        <v>534.03481012658233</v>
      </c>
      <c r="R253" s="2168"/>
      <c r="AE253" s="1365"/>
      <c r="AF253" s="1365"/>
      <c r="AG253" s="2331"/>
      <c r="AH253" s="2331"/>
      <c r="AI253" s="2331"/>
      <c r="AJ253" s="2331"/>
      <c r="AK253" s="2331"/>
      <c r="AL253" s="2331"/>
      <c r="AM253" s="2331"/>
      <c r="AN253" s="2331"/>
    </row>
    <row r="254" spans="3:40" customFormat="1" ht="13.2" outlineLevel="1">
      <c r="C254" s="8"/>
      <c r="D254" s="2041" t="s">
        <v>888</v>
      </c>
      <c r="E254" s="2413" t="s">
        <v>889</v>
      </c>
      <c r="F254" s="1366" t="s">
        <v>899</v>
      </c>
      <c r="G254" s="1366" t="s">
        <v>1757</v>
      </c>
      <c r="H254" s="1366">
        <v>15</v>
      </c>
      <c r="I254" s="2330">
        <f t="shared" si="49"/>
        <v>931.57395069953373</v>
      </c>
      <c r="J254" s="2797">
        <f>(J255-$AO$238)*1.1+$AO$238</f>
        <v>1066.8479347101934</v>
      </c>
      <c r="K254" s="2797">
        <f t="shared" ref="K254:Q254" si="63">(K255-$AO$238)*1.1+$AO$238</f>
        <v>1006.5989340439708</v>
      </c>
      <c r="L254" s="2797">
        <f t="shared" si="63"/>
        <v>931.57395069953373</v>
      </c>
      <c r="M254" s="2797">
        <f t="shared" si="63"/>
        <v>935.39390406395739</v>
      </c>
      <c r="N254" s="2797">
        <f t="shared" si="63"/>
        <v>872.11275816122588</v>
      </c>
      <c r="O254" s="2797">
        <f t="shared" si="63"/>
        <v>809.74766822118602</v>
      </c>
      <c r="P254" s="2797">
        <f t="shared" si="63"/>
        <v>699.47285143237855</v>
      </c>
      <c r="Q254" s="2797">
        <f t="shared" si="63"/>
        <v>613.40023317788155</v>
      </c>
      <c r="R254" s="2168"/>
      <c r="AE254" s="1369" t="s">
        <v>888</v>
      </c>
      <c r="AF254" s="1369" t="s">
        <v>889</v>
      </c>
      <c r="AG254" s="2332"/>
      <c r="AH254" s="2332"/>
      <c r="AI254" s="2332"/>
      <c r="AJ254" s="2332"/>
      <c r="AK254" s="2332"/>
      <c r="AL254" s="2332"/>
      <c r="AM254" s="2332"/>
      <c r="AN254" s="2332"/>
    </row>
    <row r="255" spans="3:40" customFormat="1" ht="13.2" outlineLevel="1">
      <c r="C255" s="8"/>
      <c r="D255" s="2041"/>
      <c r="E255" s="2413"/>
      <c r="F255" s="1366" t="s">
        <v>1741</v>
      </c>
      <c r="G255" s="1366" t="s">
        <v>1758</v>
      </c>
      <c r="H255" s="1366">
        <v>16</v>
      </c>
      <c r="I255" s="2330">
        <f>HLOOKUP($I$240,$J$240:$Q$264,H255)</f>
        <v>862.96635576282483</v>
      </c>
      <c r="J255" s="2797">
        <f>AG255/$AM$238</f>
        <v>985.94270486342441</v>
      </c>
      <c r="K255" s="2797">
        <f t="shared" ref="K255:Q255" si="64">AH255/$AM$238</f>
        <v>931.1708860759494</v>
      </c>
      <c r="L255" s="2797">
        <f t="shared" si="64"/>
        <v>862.96635576282483</v>
      </c>
      <c r="M255" s="2797">
        <f t="shared" si="64"/>
        <v>866.43904063957359</v>
      </c>
      <c r="N255" s="2797">
        <f t="shared" si="64"/>
        <v>808.91072618254498</v>
      </c>
      <c r="O255" s="2797">
        <f t="shared" si="64"/>
        <v>752.21518987341778</v>
      </c>
      <c r="P255" s="2797">
        <f t="shared" si="64"/>
        <v>651.96535642904735</v>
      </c>
      <c r="Q255" s="2797">
        <f t="shared" si="64"/>
        <v>573.71752165223188</v>
      </c>
      <c r="R255" s="2168"/>
      <c r="AE255" s="1369" t="s">
        <v>1753</v>
      </c>
      <c r="AF255" s="1369" t="s">
        <v>1747</v>
      </c>
      <c r="AG255" s="2334">
        <v>118392</v>
      </c>
      <c r="AH255" s="2334">
        <v>111815</v>
      </c>
      <c r="AI255" s="2334">
        <v>103625</v>
      </c>
      <c r="AJ255" s="2334">
        <v>104042</v>
      </c>
      <c r="AK255" s="2334">
        <v>97134</v>
      </c>
      <c r="AL255" s="2334">
        <v>90326</v>
      </c>
      <c r="AM255" s="2334">
        <v>78288</v>
      </c>
      <c r="AN255" s="2334">
        <v>68892</v>
      </c>
    </row>
    <row r="256" spans="3:40" customFormat="1" ht="13.2" outlineLevel="1">
      <c r="C256" s="8"/>
      <c r="D256" s="2417"/>
      <c r="E256" s="2414"/>
      <c r="F256" s="1368" t="s">
        <v>1148</v>
      </c>
      <c r="G256" s="1366" t="s">
        <v>1759</v>
      </c>
      <c r="H256" s="1366">
        <v>17</v>
      </c>
      <c r="I256" s="2330">
        <f t="shared" si="49"/>
        <v>725.75116588940716</v>
      </c>
      <c r="J256" s="2797">
        <f>(J255-$AO$238)*0.8+$AO$238</f>
        <v>824.1322451698868</v>
      </c>
      <c r="K256" s="2797">
        <f t="shared" ref="K256:Q256" si="65">(K255-$AO$238)*0.8+$AO$238</f>
        <v>780.31479013990679</v>
      </c>
      <c r="L256" s="2797">
        <f t="shared" si="65"/>
        <v>725.75116588940716</v>
      </c>
      <c r="M256" s="2797">
        <f t="shared" si="65"/>
        <v>728.5293137908061</v>
      </c>
      <c r="N256" s="2797">
        <f t="shared" si="65"/>
        <v>682.50666222518328</v>
      </c>
      <c r="O256" s="2797">
        <f t="shared" si="65"/>
        <v>637.15023317788155</v>
      </c>
      <c r="P256" s="2797">
        <f t="shared" si="65"/>
        <v>556.95036642238517</v>
      </c>
      <c r="Q256" s="2797">
        <f t="shared" si="65"/>
        <v>494.35209860093278</v>
      </c>
      <c r="R256" s="2168"/>
      <c r="AE256" s="2337" t="s">
        <v>1755</v>
      </c>
      <c r="AF256" s="2337" t="s">
        <v>1749</v>
      </c>
      <c r="AG256" s="2336"/>
      <c r="AH256" s="2336"/>
      <c r="AI256" s="2336"/>
      <c r="AJ256" s="2336"/>
      <c r="AK256" s="2336"/>
      <c r="AL256" s="2336"/>
      <c r="AM256" s="2336"/>
      <c r="AN256" s="2336"/>
    </row>
    <row r="257" spans="3:40" customFormat="1" ht="13.2" outlineLevel="1">
      <c r="C257" s="8"/>
      <c r="D257" s="2416"/>
      <c r="E257" s="2418"/>
      <c r="F257" s="1366" t="s">
        <v>1740</v>
      </c>
      <c r="G257" s="1366" t="s">
        <v>1760</v>
      </c>
      <c r="H257" s="1366">
        <v>18</v>
      </c>
      <c r="I257" s="2330">
        <f t="shared" si="49"/>
        <v>758.47268487674887</v>
      </c>
      <c r="J257" s="2797">
        <f>(J259-$AO$238)*0.9+$AO$238</f>
        <v>861.22168554297139</v>
      </c>
      <c r="K257" s="2797">
        <f t="shared" ref="K257:Q257" si="66">(K259-$AO$238)*0.9+$AO$238</f>
        <v>813.51598934043966</v>
      </c>
      <c r="L257" s="2797">
        <f t="shared" si="66"/>
        <v>758.47268487674887</v>
      </c>
      <c r="M257" s="2797">
        <f t="shared" si="66"/>
        <v>766.38740839440368</v>
      </c>
      <c r="N257" s="2797">
        <f t="shared" si="66"/>
        <v>688.34943371085944</v>
      </c>
      <c r="O257" s="2797">
        <f t="shared" si="66"/>
        <v>690.68037974683546</v>
      </c>
      <c r="P257" s="2797">
        <f t="shared" si="66"/>
        <v>652.7406728847435</v>
      </c>
      <c r="Q257" s="2797">
        <f t="shared" si="66"/>
        <v>785.64956695536307</v>
      </c>
      <c r="R257" s="2168"/>
      <c r="AE257" s="1365"/>
      <c r="AF257" s="1365"/>
      <c r="AG257" s="2331"/>
      <c r="AH257" s="2331"/>
      <c r="AI257" s="2331"/>
      <c r="AJ257" s="2331"/>
      <c r="AK257" s="2331"/>
      <c r="AL257" s="2331"/>
      <c r="AM257" s="2331"/>
      <c r="AN257" s="2331"/>
    </row>
    <row r="258" spans="3:40" customFormat="1" ht="13.2" outlineLevel="1">
      <c r="C258" s="8"/>
      <c r="D258" s="2413" t="s">
        <v>883</v>
      </c>
      <c r="E258" s="2419" t="s">
        <v>885</v>
      </c>
      <c r="F258" s="1366" t="s">
        <v>899</v>
      </c>
      <c r="G258" s="1366" t="s">
        <v>1761</v>
      </c>
      <c r="H258" s="1366">
        <v>19</v>
      </c>
      <c r="I258" s="2330">
        <f t="shared" si="49"/>
        <v>887.71319120586293</v>
      </c>
      <c r="J258" s="2797">
        <f>(J259-$AO$238)*1.1+$AO$238</f>
        <v>1013.2953031312459</v>
      </c>
      <c r="K258" s="2797">
        <f t="shared" ref="K258:Q258" si="67">(K259-$AO$238)*1.1+$AO$238</f>
        <v>954.98834110592941</v>
      </c>
      <c r="L258" s="2797">
        <f t="shared" si="67"/>
        <v>887.71319120586293</v>
      </c>
      <c r="M258" s="2797">
        <f t="shared" si="67"/>
        <v>897.38674217188543</v>
      </c>
      <c r="N258" s="2797">
        <f t="shared" si="67"/>
        <v>802.0069953364424</v>
      </c>
      <c r="O258" s="2797">
        <f t="shared" si="67"/>
        <v>804.85592938041316</v>
      </c>
      <c r="P258" s="2797">
        <f t="shared" si="67"/>
        <v>758.48517654896739</v>
      </c>
      <c r="Q258" s="2797">
        <f t="shared" si="67"/>
        <v>920.92938041305797</v>
      </c>
      <c r="R258" s="2168"/>
      <c r="AE258" s="1369" t="s">
        <v>883</v>
      </c>
      <c r="AF258" s="1369" t="s">
        <v>885</v>
      </c>
      <c r="AG258" s="2332"/>
      <c r="AH258" s="2332"/>
      <c r="AI258" s="2332"/>
      <c r="AJ258" s="2332"/>
      <c r="AK258" s="2332"/>
      <c r="AL258" s="2332"/>
      <c r="AM258" s="2332"/>
      <c r="AN258" s="2332"/>
    </row>
    <row r="259" spans="3:40" customFormat="1" ht="13.2" outlineLevel="1">
      <c r="C259" s="8"/>
      <c r="D259" s="2413"/>
      <c r="E259" s="2419"/>
      <c r="F259" s="1366" t="s">
        <v>1741</v>
      </c>
      <c r="G259" s="1366" t="s">
        <v>1762</v>
      </c>
      <c r="H259" s="1366">
        <v>20</v>
      </c>
      <c r="I259" s="2330">
        <f t="shared" si="49"/>
        <v>823.09293804130584</v>
      </c>
      <c r="J259" s="2797">
        <f>AG259/$AM$238</f>
        <v>937.25849433710857</v>
      </c>
      <c r="K259" s="2797">
        <f t="shared" ref="K259:Q259" si="68">AH259/$AM$238</f>
        <v>884.25216522318453</v>
      </c>
      <c r="L259" s="2797">
        <f t="shared" si="68"/>
        <v>823.09293804130584</v>
      </c>
      <c r="M259" s="2797">
        <f t="shared" si="68"/>
        <v>831.88707528314455</v>
      </c>
      <c r="N259" s="2797">
        <f t="shared" si="68"/>
        <v>745.17821452365092</v>
      </c>
      <c r="O259" s="2797">
        <f t="shared" si="68"/>
        <v>747.76815456362431</v>
      </c>
      <c r="P259" s="2797">
        <f t="shared" si="68"/>
        <v>705.61292471685545</v>
      </c>
      <c r="Q259" s="2797">
        <f t="shared" si="68"/>
        <v>853.28947368421052</v>
      </c>
      <c r="R259" s="2168"/>
      <c r="AE259" s="1369" t="s">
        <v>1747</v>
      </c>
      <c r="AF259" s="1369" t="s">
        <v>1742</v>
      </c>
      <c r="AG259" s="2334">
        <v>112546</v>
      </c>
      <c r="AH259" s="2334">
        <v>106181</v>
      </c>
      <c r="AI259" s="2334">
        <v>98837</v>
      </c>
      <c r="AJ259" s="2334">
        <v>99893</v>
      </c>
      <c r="AK259" s="2334">
        <v>89481</v>
      </c>
      <c r="AL259" s="2334">
        <v>89792</v>
      </c>
      <c r="AM259" s="2334">
        <v>84730</v>
      </c>
      <c r="AN259" s="2334">
        <v>102463</v>
      </c>
    </row>
    <row r="260" spans="3:40" customFormat="1" ht="13.2" outlineLevel="1">
      <c r="C260" s="8"/>
      <c r="D260" s="2417"/>
      <c r="E260" s="2414"/>
      <c r="F260" s="1368" t="s">
        <v>1148</v>
      </c>
      <c r="G260" s="1366" t="s">
        <v>1763</v>
      </c>
      <c r="H260" s="1366">
        <v>21</v>
      </c>
      <c r="I260" s="2330">
        <f t="shared" si="49"/>
        <v>693.8524317121919</v>
      </c>
      <c r="J260" s="2797">
        <f>(J259-$AO$238)*0.8+$AO$238</f>
        <v>785.18487674883409</v>
      </c>
      <c r="K260" s="2797">
        <f t="shared" ref="K260:Q260" si="69">(K259-$AO$238)*0.8+$AO$238</f>
        <v>742.7798134576949</v>
      </c>
      <c r="L260" s="2797">
        <f t="shared" si="69"/>
        <v>693.8524317121919</v>
      </c>
      <c r="M260" s="2797">
        <f t="shared" si="69"/>
        <v>700.88774150566292</v>
      </c>
      <c r="N260" s="2797">
        <f t="shared" si="69"/>
        <v>631.52065289806796</v>
      </c>
      <c r="O260" s="2797">
        <f t="shared" si="69"/>
        <v>633.59260493004672</v>
      </c>
      <c r="P260" s="2797">
        <f t="shared" si="69"/>
        <v>599.86842105263167</v>
      </c>
      <c r="Q260" s="2797">
        <f t="shared" si="69"/>
        <v>718.00966022651562</v>
      </c>
      <c r="R260" s="2168"/>
      <c r="AE260" s="2337" t="s">
        <v>1749</v>
      </c>
      <c r="AF260" s="2335" t="s">
        <v>1744</v>
      </c>
      <c r="AG260" s="2336"/>
      <c r="AH260" s="2336"/>
      <c r="AI260" s="2336"/>
      <c r="AJ260" s="2336"/>
      <c r="AK260" s="2336"/>
      <c r="AL260" s="2336"/>
      <c r="AM260" s="2336"/>
      <c r="AN260" s="2336"/>
    </row>
    <row r="261" spans="3:40" customFormat="1" ht="13.2" outlineLevel="1">
      <c r="C261" s="8"/>
      <c r="D261" s="2415"/>
      <c r="E261" s="2416"/>
      <c r="F261" s="1366" t="s">
        <v>1740</v>
      </c>
      <c r="G261" s="1366" t="s">
        <v>1764</v>
      </c>
      <c r="H261" s="1366">
        <v>22</v>
      </c>
      <c r="I261" s="2330">
        <f t="shared" si="49"/>
        <v>739.96002664890079</v>
      </c>
      <c r="J261" s="2797">
        <f>(J263-$AO$238)*0.9+$AO$238</f>
        <v>848.95986009327123</v>
      </c>
      <c r="K261" s="2797">
        <f t="shared" ref="K261:Q261" si="70">(K263-$AO$238)*0.9+$AO$238</f>
        <v>802.22101932045302</v>
      </c>
      <c r="L261" s="2797">
        <f t="shared" si="70"/>
        <v>739.96002664890079</v>
      </c>
      <c r="M261" s="2797">
        <f t="shared" si="70"/>
        <v>734.27881412391741</v>
      </c>
      <c r="N261" s="2797">
        <f t="shared" si="70"/>
        <v>657.33510992671552</v>
      </c>
      <c r="O261" s="2797">
        <f t="shared" si="70"/>
        <v>622.18354430379748</v>
      </c>
      <c r="P261" s="2797">
        <f t="shared" si="70"/>
        <v>563.93237841439043</v>
      </c>
      <c r="Q261" s="2797">
        <f t="shared" si="70"/>
        <v>534.03481012658233</v>
      </c>
      <c r="R261" s="2168"/>
      <c r="AE261" s="1365"/>
      <c r="AF261" s="1365"/>
      <c r="AG261" s="2331"/>
      <c r="AH261" s="2331"/>
      <c r="AI261" s="2331"/>
      <c r="AJ261" s="2331"/>
      <c r="AK261" s="2331"/>
      <c r="AL261" s="2331"/>
      <c r="AM261" s="2331"/>
      <c r="AN261" s="2331"/>
    </row>
    <row r="262" spans="3:40" customFormat="1" ht="13.2" outlineLevel="1">
      <c r="C262" s="8"/>
      <c r="D262" s="2041" t="s">
        <v>883</v>
      </c>
      <c r="E262" s="2413" t="s">
        <v>889</v>
      </c>
      <c r="F262" s="1366" t="s">
        <v>899</v>
      </c>
      <c r="G262" s="1366" t="s">
        <v>1765</v>
      </c>
      <c r="H262" s="1366">
        <v>23</v>
      </c>
      <c r="I262" s="2330">
        <f t="shared" si="49"/>
        <v>865.08660892738192</v>
      </c>
      <c r="J262" s="2797">
        <f>(J263-$AO$238)*1.1+$AO$238</f>
        <v>998.30862758161243</v>
      </c>
      <c r="K262" s="2797">
        <f t="shared" ref="K262:Q262" si="71">(K263-$AO$238)*1.1+$AO$238</f>
        <v>941.18337774816791</v>
      </c>
      <c r="L262" s="2797">
        <f t="shared" si="71"/>
        <v>865.08660892738192</v>
      </c>
      <c r="M262" s="2797">
        <f t="shared" si="71"/>
        <v>858.14290473017991</v>
      </c>
      <c r="N262" s="2797">
        <f t="shared" si="71"/>
        <v>764.10059960026649</v>
      </c>
      <c r="O262" s="2797">
        <f t="shared" si="71"/>
        <v>721.13757495003335</v>
      </c>
      <c r="P262" s="2797">
        <f t="shared" si="71"/>
        <v>649.94170552964692</v>
      </c>
      <c r="Q262" s="2797">
        <f t="shared" si="71"/>
        <v>613.40023317788155</v>
      </c>
      <c r="R262" s="2168"/>
      <c r="AE262" s="1369" t="s">
        <v>883</v>
      </c>
      <c r="AF262" s="1369" t="s">
        <v>889</v>
      </c>
      <c r="AG262" s="2332"/>
      <c r="AH262" s="2332"/>
      <c r="AI262" s="2332"/>
      <c r="AJ262" s="2332"/>
      <c r="AK262" s="2332"/>
      <c r="AL262" s="2332"/>
      <c r="AM262" s="2332"/>
      <c r="AN262" s="2332"/>
    </row>
    <row r="263" spans="3:40" customFormat="1" ht="13.2" outlineLevel="1">
      <c r="C263" s="8"/>
      <c r="D263" s="2041"/>
      <c r="E263" s="2413"/>
      <c r="F263" s="1366" t="s">
        <v>1741</v>
      </c>
      <c r="G263" s="1366" t="s">
        <v>1766</v>
      </c>
      <c r="H263" s="1366">
        <v>24</v>
      </c>
      <c r="I263" s="2330">
        <f t="shared" si="49"/>
        <v>802.5233177881413</v>
      </c>
      <c r="J263" s="2797">
        <f>AG263/$AM$238</f>
        <v>923.63424383744177</v>
      </c>
      <c r="K263" s="2797">
        <f t="shared" ref="K263:Q263" si="72">AH263/$AM$238</f>
        <v>871.70219853431047</v>
      </c>
      <c r="L263" s="2797">
        <f t="shared" si="72"/>
        <v>802.5233177881413</v>
      </c>
      <c r="M263" s="2797">
        <f t="shared" si="72"/>
        <v>796.2108594270486</v>
      </c>
      <c r="N263" s="2797">
        <f t="shared" si="72"/>
        <v>710.717854763491</v>
      </c>
      <c r="O263" s="2797">
        <f t="shared" si="72"/>
        <v>671.66055962691541</v>
      </c>
      <c r="P263" s="2797">
        <f t="shared" si="72"/>
        <v>606.93704197201862</v>
      </c>
      <c r="Q263" s="2797">
        <f t="shared" si="72"/>
        <v>573.71752165223188</v>
      </c>
      <c r="R263" s="2168"/>
      <c r="AE263" s="1369" t="s">
        <v>1747</v>
      </c>
      <c r="AF263" s="1369" t="s">
        <v>1747</v>
      </c>
      <c r="AG263" s="2334">
        <v>110910</v>
      </c>
      <c r="AH263" s="2334">
        <v>104674</v>
      </c>
      <c r="AI263" s="2334">
        <v>96367</v>
      </c>
      <c r="AJ263" s="2334">
        <v>95609</v>
      </c>
      <c r="AK263" s="2334">
        <v>85343</v>
      </c>
      <c r="AL263" s="2334">
        <v>80653</v>
      </c>
      <c r="AM263" s="2334">
        <v>72881</v>
      </c>
      <c r="AN263" s="2334">
        <v>68892</v>
      </c>
    </row>
    <row r="264" spans="3:40" customFormat="1" ht="13.2" outlineLevel="1">
      <c r="C264" s="8"/>
      <c r="D264" s="2417"/>
      <c r="E264" s="2414"/>
      <c r="F264" s="1368" t="s">
        <v>1148</v>
      </c>
      <c r="G264" s="1366" t="s">
        <v>1767</v>
      </c>
      <c r="H264" s="1366">
        <v>25</v>
      </c>
      <c r="I264" s="2330">
        <f>HLOOKUP($I$240,$J$240:$Q$264,H264)</f>
        <v>677.39673550966029</v>
      </c>
      <c r="J264" s="2797">
        <f>(J263-$AO$238)*0.8+$AO$238</f>
        <v>774.28547634910069</v>
      </c>
      <c r="K264" s="2797">
        <f t="shared" ref="K264:Q264" si="73">(K263-$AO$238)*0.8+$AO$238</f>
        <v>732.73984010659558</v>
      </c>
      <c r="L264" s="2797">
        <f t="shared" si="73"/>
        <v>677.39673550966029</v>
      </c>
      <c r="M264" s="2797">
        <f t="shared" si="73"/>
        <v>672.34676882078611</v>
      </c>
      <c r="N264" s="2797">
        <f t="shared" si="73"/>
        <v>603.95236508994003</v>
      </c>
      <c r="O264" s="2797">
        <f t="shared" si="73"/>
        <v>572.70652898067965</v>
      </c>
      <c r="P264" s="2797">
        <f t="shared" si="73"/>
        <v>520.92771485676212</v>
      </c>
      <c r="Q264" s="2797">
        <f t="shared" si="73"/>
        <v>494.35209860093278</v>
      </c>
      <c r="R264" s="2168"/>
      <c r="T264" t="s">
        <v>1777</v>
      </c>
      <c r="U264" t="s">
        <v>1778</v>
      </c>
      <c r="V264" t="s">
        <v>401</v>
      </c>
      <c r="Y264" s="2289"/>
      <c r="AE264" s="2337" t="s">
        <v>1749</v>
      </c>
      <c r="AF264" s="2337" t="s">
        <v>1749</v>
      </c>
      <c r="AG264" s="2336"/>
      <c r="AH264" s="2336"/>
      <c r="AI264" s="2336"/>
      <c r="AJ264" s="2336"/>
      <c r="AK264" s="2336"/>
      <c r="AL264" s="2336"/>
      <c r="AM264" s="2336"/>
      <c r="AN264" s="2336"/>
    </row>
    <row r="265" spans="3:40" customFormat="1" ht="13.2" outlineLevel="1">
      <c r="C265" s="8"/>
      <c r="D265" s="2310"/>
      <c r="E265" s="2289"/>
      <c r="F265" s="2798" t="s">
        <v>894</v>
      </c>
      <c r="G265" s="2289"/>
      <c r="H265" s="2289"/>
      <c r="I265" s="2381">
        <f>IF(X265="-",HLOOKUP($I$240,$T$241:$AA$243,2,FALSE),VLOOKUP(X265,$H$241:$I$264,2))</f>
        <v>1214.0489673550967</v>
      </c>
      <c r="J265" s="2289"/>
      <c r="K265" s="8"/>
      <c r="L265" s="8"/>
      <c r="M265" s="8"/>
      <c r="N265" s="8"/>
      <c r="O265" s="8"/>
      <c r="P265" s="8"/>
      <c r="Q265" s="1188" t="s">
        <v>892</v>
      </c>
      <c r="R265" s="2168"/>
      <c r="T265" s="2379">
        <f>採点LR1!F36</f>
        <v>0</v>
      </c>
      <c r="U265" s="2379">
        <f>採点LR1!K36</f>
        <v>0</v>
      </c>
      <c r="V265" s="2380" t="str">
        <f>採点LR1!R32</f>
        <v>-</v>
      </c>
      <c r="W265" s="1399" t="str">
        <f>IFERROR(T265&amp;U265&amp;V265,"-")</f>
        <v>00-</v>
      </c>
      <c r="X265" s="1399" t="str">
        <f>IFERROR(VLOOKUP(W265,G241:H264,2,0),"-")</f>
        <v>-</v>
      </c>
      <c r="Y265" s="2319" t="s">
        <v>1776</v>
      </c>
    </row>
    <row r="266" spans="3:40" customFormat="1" ht="13.2" outlineLevel="1">
      <c r="C266" s="8"/>
      <c r="D266" s="2310"/>
      <c r="E266" s="2289"/>
      <c r="F266" s="2798" t="s">
        <v>225</v>
      </c>
      <c r="G266" s="2289"/>
      <c r="H266" s="2289"/>
      <c r="I266" s="2381">
        <f>IF(X266="-",HLOOKUP($I$240,$T$241:$AA$243,3,FALSE),VLOOKUP(X266,$H$241:$I$264,2))</f>
        <v>812.86392405063293</v>
      </c>
      <c r="J266" s="2289"/>
      <c r="K266" s="2319"/>
      <c r="L266" s="2319"/>
      <c r="M266" s="2319"/>
      <c r="N266" s="2319"/>
      <c r="O266" s="2319"/>
      <c r="P266" s="2319"/>
      <c r="Q266" s="8"/>
      <c r="R266" s="2168"/>
      <c r="W266" s="1366" t="str">
        <f>T265&amp;U265&amp;0</f>
        <v>000</v>
      </c>
      <c r="X266" s="1399" t="str">
        <f>IFERROR(VLOOKUP(W266,G241:H264,2,0),"-")</f>
        <v>-</v>
      </c>
      <c r="Y266" s="8" t="s">
        <v>1775</v>
      </c>
    </row>
    <row r="267" spans="3:40" customFormat="1" ht="13.2" outlineLevel="1">
      <c r="C267" s="2291"/>
      <c r="D267" s="2316"/>
      <c r="E267" s="2310"/>
      <c r="F267" s="2310"/>
      <c r="G267" s="2168"/>
      <c r="H267" s="2310"/>
      <c r="I267" s="2310"/>
      <c r="J267" s="2323"/>
      <c r="K267" s="2319"/>
      <c r="L267" s="2310"/>
      <c r="M267" s="2310"/>
      <c r="N267" s="2310"/>
      <c r="O267" s="2310"/>
      <c r="P267" s="2310"/>
      <c r="Q267" s="2310"/>
      <c r="R267" s="2310"/>
    </row>
    <row r="268" spans="3:40" ht="15.6" customHeight="1">
      <c r="C268" s="2290" t="s">
        <v>1803</v>
      </c>
      <c r="T268"/>
      <c r="U268"/>
      <c r="V268"/>
      <c r="W268"/>
      <c r="X268"/>
      <c r="Y268"/>
      <c r="Z268"/>
      <c r="AA268"/>
    </row>
    <row r="269" spans="3:40" ht="11.25" customHeight="1">
      <c r="C269" s="2286"/>
      <c r="F269" s="2310"/>
    </row>
    <row r="270" spans="3:40" ht="15.6" customHeight="1">
      <c r="C270" s="2286"/>
    </row>
    <row r="271" spans="3:40" ht="15.6" customHeight="1">
      <c r="I271" s="2297" t="s">
        <v>313</v>
      </c>
      <c r="J271" s="2294"/>
      <c r="K271" s="2298"/>
      <c r="L271" s="2297" t="s">
        <v>314</v>
      </c>
      <c r="M271" s="2294"/>
      <c r="N271" s="2298"/>
      <c r="O271" s="2297" t="s">
        <v>315</v>
      </c>
      <c r="P271" s="2294"/>
      <c r="Q271" s="2298"/>
    </row>
    <row r="272" spans="3:40" ht="15.6" customHeight="1">
      <c r="F272" s="2292" t="s">
        <v>719</v>
      </c>
      <c r="H272" s="2338"/>
      <c r="I272" s="2299" t="s">
        <v>40</v>
      </c>
      <c r="J272" s="2299" t="s">
        <v>293</v>
      </c>
      <c r="K272" s="2299" t="s">
        <v>41</v>
      </c>
      <c r="L272" s="2299" t="s">
        <v>40</v>
      </c>
      <c r="M272" s="2299" t="s">
        <v>293</v>
      </c>
      <c r="N272" s="2299" t="s">
        <v>41</v>
      </c>
      <c r="O272" s="2299" t="s">
        <v>40</v>
      </c>
      <c r="P272" s="2299" t="s">
        <v>293</v>
      </c>
      <c r="Q272" s="2299" t="s">
        <v>41</v>
      </c>
    </row>
    <row r="273" spans="3:19" ht="15.6" customHeight="1">
      <c r="C273" s="2339" t="s">
        <v>299</v>
      </c>
      <c r="D273" s="2339"/>
      <c r="F273" s="2309"/>
      <c r="H273" s="2340"/>
      <c r="I273" s="2341">
        <v>30</v>
      </c>
      <c r="J273" s="2341">
        <v>60</v>
      </c>
      <c r="K273" s="2341">
        <v>90</v>
      </c>
      <c r="L273" s="2341">
        <v>30</v>
      </c>
      <c r="M273" s="2341">
        <v>60</v>
      </c>
      <c r="N273" s="2341">
        <v>90</v>
      </c>
      <c r="O273" s="2341">
        <v>30</v>
      </c>
      <c r="P273" s="2341">
        <v>60</v>
      </c>
      <c r="Q273" s="2341">
        <v>90</v>
      </c>
    </row>
    <row r="274" spans="3:19" ht="9" customHeight="1">
      <c r="C274" s="2311"/>
      <c r="D274" s="2311"/>
      <c r="F274" s="2296"/>
      <c r="H274" s="2340"/>
      <c r="I274" s="2342"/>
      <c r="J274" s="2342"/>
      <c r="K274" s="2342"/>
      <c r="L274" s="2342"/>
      <c r="M274" s="2342"/>
      <c r="N274" s="2342"/>
      <c r="O274" s="2342"/>
      <c r="P274" s="2342"/>
      <c r="Q274" s="2342"/>
    </row>
    <row r="275" spans="3:19" ht="15.6">
      <c r="D275" s="2339"/>
      <c r="H275" s="2340"/>
      <c r="I275" s="2343" t="s">
        <v>716</v>
      </c>
      <c r="J275" s="2344"/>
      <c r="K275" s="2344"/>
      <c r="L275" s="2344"/>
      <c r="M275" s="2344"/>
      <c r="N275" s="2344"/>
      <c r="O275" s="2344"/>
      <c r="P275" s="2344"/>
      <c r="Q275" s="2345"/>
    </row>
    <row r="276" spans="3:19" ht="35.25" customHeight="1">
      <c r="C276" s="2346" t="s">
        <v>300</v>
      </c>
      <c r="D276" s="2339"/>
      <c r="F276" s="2347" t="s">
        <v>721</v>
      </c>
      <c r="I276" s="2348" t="s">
        <v>40</v>
      </c>
      <c r="J276" s="2348" t="s">
        <v>293</v>
      </c>
      <c r="K276" s="2348" t="s">
        <v>41</v>
      </c>
      <c r="L276" s="2348" t="s">
        <v>40</v>
      </c>
      <c r="M276" s="2348" t="s">
        <v>293</v>
      </c>
      <c r="N276" s="2348" t="s">
        <v>41</v>
      </c>
      <c r="O276" s="2348" t="s">
        <v>40</v>
      </c>
      <c r="P276" s="2348" t="s">
        <v>293</v>
      </c>
      <c r="Q276" s="2348" t="s">
        <v>41</v>
      </c>
    </row>
    <row r="277" spans="3:19" ht="13.2">
      <c r="D277" s="2304"/>
      <c r="F277" s="2349">
        <v>1</v>
      </c>
      <c r="H277" s="2340"/>
      <c r="I277" s="2350">
        <v>11</v>
      </c>
      <c r="J277" s="2350">
        <v>11</v>
      </c>
      <c r="K277" s="2350">
        <v>11</v>
      </c>
      <c r="L277" s="2350">
        <v>11</v>
      </c>
      <c r="M277" s="2350">
        <v>11</v>
      </c>
      <c r="N277" s="2350">
        <v>11</v>
      </c>
      <c r="O277" s="2350">
        <v>11</v>
      </c>
      <c r="P277" s="2350">
        <v>11</v>
      </c>
      <c r="Q277" s="2350">
        <v>11</v>
      </c>
      <c r="S277" s="2308"/>
    </row>
    <row r="278" spans="3:19" ht="13.2">
      <c r="D278" s="2339"/>
      <c r="F278" s="2349">
        <v>2</v>
      </c>
      <c r="H278" s="2340"/>
      <c r="I278" s="2350">
        <v>12</v>
      </c>
      <c r="J278" s="2350">
        <v>18</v>
      </c>
      <c r="K278" s="2350">
        <v>24</v>
      </c>
      <c r="L278" s="2350">
        <v>12</v>
      </c>
      <c r="M278" s="2350">
        <v>18</v>
      </c>
      <c r="N278" s="2350">
        <v>24</v>
      </c>
      <c r="O278" s="2350">
        <v>12</v>
      </c>
      <c r="P278" s="2350">
        <v>18</v>
      </c>
      <c r="Q278" s="2350">
        <v>24</v>
      </c>
    </row>
    <row r="279" spans="3:19" ht="13.2">
      <c r="D279" s="2339"/>
      <c r="F279" s="2349">
        <v>3</v>
      </c>
      <c r="H279" s="2340"/>
      <c r="I279" s="2350">
        <v>25</v>
      </c>
      <c r="J279" s="2350">
        <v>37</v>
      </c>
      <c r="K279" s="2350">
        <v>49</v>
      </c>
      <c r="L279" s="2350">
        <v>25</v>
      </c>
      <c r="M279" s="2350">
        <v>37</v>
      </c>
      <c r="N279" s="2350">
        <v>49</v>
      </c>
      <c r="O279" s="2350">
        <v>25</v>
      </c>
      <c r="P279" s="2350">
        <v>37</v>
      </c>
      <c r="Q279" s="2350">
        <v>49</v>
      </c>
    </row>
    <row r="280" spans="3:19" ht="13.2">
      <c r="D280" s="2339"/>
      <c r="F280" s="2349">
        <v>4</v>
      </c>
      <c r="H280" s="2340"/>
      <c r="I280" s="2350">
        <v>50</v>
      </c>
      <c r="J280" s="2350">
        <v>75</v>
      </c>
      <c r="K280" s="2350">
        <v>100</v>
      </c>
      <c r="L280" s="2350">
        <v>50</v>
      </c>
      <c r="M280" s="2350">
        <v>75</v>
      </c>
      <c r="N280" s="2350">
        <v>100</v>
      </c>
      <c r="O280" s="2350">
        <v>50</v>
      </c>
      <c r="P280" s="2350">
        <v>75</v>
      </c>
      <c r="Q280" s="2350">
        <v>100</v>
      </c>
    </row>
    <row r="281" spans="3:19" ht="13.2">
      <c r="D281" s="2339"/>
      <c r="F281" s="2349">
        <v>5</v>
      </c>
      <c r="H281" s="2340"/>
      <c r="I281" s="2350">
        <v>50</v>
      </c>
      <c r="J281" s="2350">
        <v>75</v>
      </c>
      <c r="K281" s="2350">
        <v>100</v>
      </c>
      <c r="L281" s="2350">
        <v>50</v>
      </c>
      <c r="M281" s="2350">
        <v>75</v>
      </c>
      <c r="N281" s="2350">
        <v>100</v>
      </c>
      <c r="O281" s="2350">
        <v>50</v>
      </c>
      <c r="P281" s="2350">
        <v>75</v>
      </c>
      <c r="Q281" s="2350">
        <v>100</v>
      </c>
    </row>
    <row r="282" spans="3:19" ht="4.95" customHeight="1">
      <c r="D282" s="2339"/>
      <c r="E282" s="2339"/>
      <c r="F282" s="2339"/>
      <c r="G282" s="2339"/>
      <c r="H282" s="2339"/>
      <c r="I282" s="2339"/>
      <c r="J282" s="2339"/>
      <c r="K282" s="2339"/>
      <c r="L282" s="2339"/>
      <c r="M282" s="2339"/>
      <c r="N282" s="2339"/>
      <c r="O282" s="2339"/>
      <c r="P282" s="2339"/>
      <c r="Q282" s="2339"/>
    </row>
    <row r="283" spans="3:19" ht="9" hidden="1" customHeight="1"/>
    <row r="284" spans="3:19" ht="13.2" hidden="1"/>
    <row r="285" spans="3:19" ht="13.2" hidden="1"/>
    <row r="286" spans="3:19" ht="13.2" hidden="1"/>
    <row r="287" spans="3:19" ht="13.2" hidden="1"/>
    <row r="288" spans="3:19"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sheetData>
  <sheetProtection algorithmName="SHA-512" hashValue="kmXfuZkeM0tidhYuD3LGqHpXpEWlJUGInHAAP1KkR+tia/TT3rsaAG9WUJihueqSQT2D9CTJZCGINfzP9PBI/w==" saltValue="D/OY7cWNh5RJ7e6LKf4wrg==" spinCount="100000" sheet="1" objects="1" scenarios="1"/>
  <phoneticPr fontId="4"/>
  <conditionalFormatting sqref="F4 F56">
    <cfRule type="cellIs" dxfId="25" priority="7" stopIfTrue="1" operator="equal">
      <formula>5</formula>
    </cfRule>
    <cfRule type="cellIs" dxfId="24" priority="8" stopIfTrue="1" operator="equal">
      <formula>4</formula>
    </cfRule>
    <cfRule type="cellIs" dxfId="23" priority="9" stopIfTrue="1" operator="equal">
      <formula>2</formula>
    </cfRule>
  </conditionalFormatting>
  <conditionalFormatting sqref="F108">
    <cfRule type="cellIs" dxfId="22" priority="4" stopIfTrue="1" operator="equal">
      <formula>5</formula>
    </cfRule>
    <cfRule type="cellIs" dxfId="21" priority="5" stopIfTrue="1" operator="equal">
      <formula>4</formula>
    </cfRule>
    <cfRule type="cellIs" dxfId="20" priority="6" stopIfTrue="1" operator="equal">
      <formula>2</formula>
    </cfRule>
  </conditionalFormatting>
  <conditionalFormatting sqref="F160">
    <cfRule type="cellIs" dxfId="19" priority="1" stopIfTrue="1" operator="equal">
      <formula>5</formula>
    </cfRule>
    <cfRule type="cellIs" dxfId="18" priority="2" stopIfTrue="1" operator="equal">
      <formula>4</formula>
    </cfRule>
    <cfRule type="cellIs" dxfId="17" priority="3" stopIfTrue="1" operator="equal">
      <formula>2</formula>
    </cfRule>
  </conditionalFormatting>
  <printOptions horizontalCentered="1"/>
  <pageMargins left="0.59055118110236227" right="0.78740157480314965" top="0.78740157480314965" bottom="0.78740157480314965" header="0.51181102362204722" footer="0.51181102362204722"/>
  <pageSetup paperSize="9" scale="70" fitToHeight="0" orientation="portrait" horizontalDpi="300" verticalDpi="300" r:id="rId1"/>
  <headerFooter alignWithMargins="0">
    <oddHeader>&amp;L&amp;F&amp;R&amp;A</oddHeader>
    <oddFooter>&amp;C&amp;P/&amp;N</oddFooter>
  </headerFooter>
  <rowBreaks count="2" manualBreakCount="2">
    <brk id="54" max="16" man="1"/>
    <brk id="216" max="16"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7CCEF-981E-4CE0-985A-5783F5A56CB0}">
  <sheetPr codeName="Sheet21">
    <pageSetUpPr fitToPage="1"/>
  </sheetPr>
  <dimension ref="A1:AD1048576"/>
  <sheetViews>
    <sheetView showGridLines="0" zoomScale="70" zoomScaleNormal="70" zoomScaleSheetLayoutView="85" workbookViewId="0">
      <selection activeCell="F8" sqref="F8"/>
    </sheetView>
  </sheetViews>
  <sheetFormatPr defaultColWidth="0" defaultRowHeight="16.2" zeroHeight="1"/>
  <cols>
    <col min="1" max="1" width="3.88671875" style="1409" customWidth="1"/>
    <col min="2" max="2" width="11.77734375" style="1638" customWidth="1"/>
    <col min="3" max="3" width="4.77734375" style="1640" customWidth="1"/>
    <col min="4" max="4" width="25" style="1641" customWidth="1"/>
    <col min="5" max="5" width="7.33203125" style="1640" customWidth="1"/>
    <col min="6" max="6" width="27.44140625" style="1407" customWidth="1"/>
    <col min="7" max="7" width="51.77734375" style="4" customWidth="1"/>
    <col min="8" max="10" width="9.33203125" style="15" customWidth="1"/>
    <col min="11" max="11" width="63.21875" style="356" customWidth="1"/>
    <col min="12" max="13" width="5.33203125" style="1642" customWidth="1"/>
    <col min="14" max="14" width="1.44140625" customWidth="1"/>
    <col min="15" max="15" width="2.44140625" customWidth="1"/>
    <col min="16" max="16" width="5.77734375" hidden="1" customWidth="1"/>
    <col min="17" max="17" width="5.77734375" style="355" hidden="1" customWidth="1"/>
    <col min="18" max="18" width="19.77734375" style="355" hidden="1" customWidth="1"/>
    <col min="19" max="19" width="6.21875" hidden="1" customWidth="1"/>
    <col min="20" max="21" width="5.77734375" style="1409" hidden="1" customWidth="1"/>
    <col min="22" max="22" width="5.77734375" style="1639" hidden="1" customWidth="1"/>
    <col min="23" max="24" width="5.77734375" hidden="1" customWidth="1"/>
    <col min="25" max="25" width="8.44140625" style="1638" hidden="1" customWidth="1"/>
    <col min="26" max="26" width="11" style="1644" hidden="1" customWidth="1"/>
    <col min="27" max="27" width="5.77734375" style="1645" hidden="1" customWidth="1"/>
    <col min="28" max="28" width="5.77734375" style="1640" hidden="1" customWidth="1"/>
    <col min="29" max="29" width="8.77734375" hidden="1" customWidth="1"/>
    <col min="30" max="16384" width="5.77734375" hidden="1"/>
  </cols>
  <sheetData>
    <row r="1" spans="1:30" ht="16.8" thickBot="1">
      <c r="M1" s="1643"/>
    </row>
    <row r="2" spans="1:30" s="15" customFormat="1" ht="26.25" customHeight="1" thickTop="1">
      <c r="A2" s="1646"/>
      <c r="B2" s="1647" t="s">
        <v>1181</v>
      </c>
      <c r="C2" s="4"/>
      <c r="D2" s="1648"/>
      <c r="E2" s="4"/>
      <c r="F2" s="4"/>
      <c r="G2" s="4"/>
      <c r="I2" s="3120" t="s">
        <v>1182</v>
      </c>
      <c r="J2" s="3120"/>
      <c r="K2" s="2051" t="str">
        <f>IF(メイン!$C$10="","",メイン!$C$10)</f>
        <v>あおもりGX</v>
      </c>
      <c r="M2" s="1642"/>
      <c r="N2" s="3140"/>
      <c r="O2" s="3141" t="s">
        <v>67</v>
      </c>
      <c r="Q2" s="355"/>
      <c r="R2" s="355"/>
      <c r="T2" s="1642"/>
      <c r="U2" s="1642"/>
      <c r="V2" s="2073"/>
      <c r="Y2" s="1649"/>
      <c r="Z2" s="1644"/>
      <c r="AA2" s="1645"/>
      <c r="AB2" s="4"/>
    </row>
    <row r="3" spans="1:30" s="15" customFormat="1" ht="7.5" customHeight="1" thickBot="1">
      <c r="A3" s="1646"/>
      <c r="B3" s="1649"/>
      <c r="C3" s="4"/>
      <c r="D3" s="1648"/>
      <c r="E3" s="4"/>
      <c r="F3" s="4"/>
      <c r="G3" s="4"/>
      <c r="I3" s="1642"/>
      <c r="J3" s="1642"/>
      <c r="M3" s="1642"/>
      <c r="N3" s="3140"/>
      <c r="O3" s="3142"/>
      <c r="Q3" s="355"/>
      <c r="R3" s="355"/>
      <c r="T3" s="1642"/>
      <c r="U3" s="1642"/>
      <c r="V3" s="2073"/>
      <c r="Y3" s="1649"/>
      <c r="Z3" s="1644"/>
      <c r="AA3" s="1645"/>
      <c r="AB3" s="4"/>
    </row>
    <row r="4" spans="1:30" s="15" customFormat="1" ht="21.75" customHeight="1" thickBot="1">
      <c r="A4" s="1646"/>
      <c r="B4" s="1649"/>
      <c r="C4" s="3121" t="s">
        <v>1183</v>
      </c>
      <c r="D4" s="3121"/>
      <c r="E4" s="3121"/>
      <c r="F4" s="2452" t="s">
        <v>1846</v>
      </c>
      <c r="G4" s="4"/>
      <c r="I4" s="1642"/>
      <c r="J4" s="1642"/>
      <c r="M4" s="2052" t="s">
        <v>1630</v>
      </c>
      <c r="N4" s="3140"/>
      <c r="O4" s="3142"/>
      <c r="Q4" s="355"/>
      <c r="R4" s="355"/>
      <c r="T4" s="1642"/>
      <c r="U4" s="1642"/>
      <c r="V4" s="2073"/>
      <c r="Y4" s="1649"/>
      <c r="Z4" s="1644"/>
      <c r="AA4" s="1645"/>
      <c r="AB4" s="4"/>
    </row>
    <row r="5" spans="1:30" ht="10.5" customHeight="1" thickBot="1">
      <c r="C5" s="1650"/>
      <c r="D5" s="1651"/>
      <c r="E5" s="1650"/>
      <c r="F5" s="1650"/>
      <c r="G5" s="1650"/>
      <c r="H5" s="1652"/>
      <c r="I5" s="1652"/>
      <c r="J5" s="1652"/>
      <c r="K5" s="1136"/>
      <c r="L5" s="1652"/>
      <c r="M5" s="1653"/>
      <c r="N5" s="3140"/>
      <c r="O5" s="3143"/>
      <c r="V5" s="1639">
        <f>COUNTIF(V11:V115,"E")</f>
        <v>0</v>
      </c>
      <c r="AB5" s="4"/>
    </row>
    <row r="6" spans="1:30" s="358" customFormat="1" ht="17.25" customHeight="1" thickTop="1">
      <c r="A6" s="1654"/>
      <c r="B6" s="3122" t="s">
        <v>1184</v>
      </c>
      <c r="C6" s="3124" t="s">
        <v>1637</v>
      </c>
      <c r="D6" s="3124"/>
      <c r="E6" s="3124"/>
      <c r="F6" s="3125"/>
      <c r="G6" s="3126" t="s">
        <v>1185</v>
      </c>
      <c r="H6" s="3128" t="s">
        <v>1186</v>
      </c>
      <c r="I6" s="3130" t="s">
        <v>1187</v>
      </c>
      <c r="J6" s="3130" t="s">
        <v>1188</v>
      </c>
      <c r="K6" s="3158" t="s">
        <v>1189</v>
      </c>
      <c r="L6" s="1655"/>
      <c r="M6" s="3122" t="s">
        <v>375</v>
      </c>
      <c r="Q6" s="1656" t="s">
        <v>1193</v>
      </c>
      <c r="R6" s="1657" t="s">
        <v>1084</v>
      </c>
      <c r="S6" s="3134" t="s">
        <v>1622</v>
      </c>
      <c r="T6" s="3135"/>
      <c r="U6" s="3136"/>
      <c r="V6" s="3137" t="s">
        <v>1623</v>
      </c>
      <c r="W6" s="3139"/>
      <c r="Y6" s="1658"/>
      <c r="Z6" s="1644"/>
      <c r="AA6" s="1645"/>
    </row>
    <row r="7" spans="1:30" s="358" customFormat="1" ht="46.5" customHeight="1">
      <c r="A7" s="1654"/>
      <c r="B7" s="3123"/>
      <c r="C7" s="3160" t="s">
        <v>1190</v>
      </c>
      <c r="D7" s="3161"/>
      <c r="E7" s="3162" t="s">
        <v>1191</v>
      </c>
      <c r="F7" s="3161"/>
      <c r="G7" s="3127"/>
      <c r="H7" s="3129"/>
      <c r="I7" s="3131"/>
      <c r="J7" s="3131"/>
      <c r="K7" s="3159"/>
      <c r="L7" s="1659" t="s">
        <v>1192</v>
      </c>
      <c r="M7" s="3123"/>
      <c r="Q7" s="1660" t="s">
        <v>1198</v>
      </c>
      <c r="R7" s="1661" t="s">
        <v>1198</v>
      </c>
      <c r="S7" s="1662">
        <v>2</v>
      </c>
      <c r="T7" s="1662">
        <v>3</v>
      </c>
      <c r="U7" s="1663">
        <v>4</v>
      </c>
      <c r="V7" s="3138"/>
      <c r="W7" s="3139"/>
      <c r="Y7" s="3132" t="s">
        <v>1621</v>
      </c>
      <c r="Z7" s="3133"/>
      <c r="AA7" s="2042" t="s">
        <v>1199</v>
      </c>
      <c r="AB7" s="2043" t="s">
        <v>1636</v>
      </c>
      <c r="AC7" s="2043"/>
      <c r="AD7" s="2044" t="s">
        <v>1200</v>
      </c>
    </row>
    <row r="8" spans="1:30" s="358" customFormat="1" ht="90.75" customHeight="1">
      <c r="A8" s="1664"/>
      <c r="B8" s="1665" t="s">
        <v>1194</v>
      </c>
      <c r="C8" s="1666" t="s">
        <v>1195</v>
      </c>
      <c r="D8" s="1667"/>
      <c r="E8" s="1668"/>
      <c r="F8" s="1669"/>
      <c r="G8" s="1669"/>
      <c r="H8" s="1670"/>
      <c r="I8" s="1670"/>
      <c r="J8" s="1670"/>
      <c r="K8" s="1671"/>
      <c r="L8" s="1672"/>
      <c r="M8" s="1673"/>
      <c r="Q8" s="1674"/>
      <c r="R8" s="1675"/>
      <c r="S8" s="1676"/>
      <c r="T8" s="1676"/>
      <c r="U8" s="1676"/>
      <c r="V8" s="2074"/>
      <c r="W8" s="2041"/>
      <c r="Y8" s="2045"/>
      <c r="Z8" s="2046"/>
      <c r="AA8" s="2047"/>
      <c r="AB8" s="2048"/>
      <c r="AC8" s="1676"/>
      <c r="AD8" s="2103"/>
    </row>
    <row r="9" spans="1:30" s="358" customFormat="1" ht="90.75" customHeight="1">
      <c r="A9" s="1664"/>
      <c r="B9" s="1679" t="s">
        <v>1196</v>
      </c>
      <c r="C9" s="1680" t="s">
        <v>1197</v>
      </c>
      <c r="D9" s="1681"/>
      <c r="E9" s="1677"/>
      <c r="F9" s="1682"/>
      <c r="G9" s="1682"/>
      <c r="H9" s="1683"/>
      <c r="I9" s="1683"/>
      <c r="J9" s="1683"/>
      <c r="K9" s="1678"/>
      <c r="L9" s="1684"/>
      <c r="M9" s="1685"/>
      <c r="Q9" s="1686"/>
      <c r="R9" s="1687"/>
      <c r="S9" s="1688"/>
      <c r="T9" s="1688"/>
      <c r="U9" s="1688"/>
      <c r="V9" s="2074"/>
      <c r="W9" s="2041"/>
      <c r="Y9" s="3163"/>
      <c r="Z9" s="3164"/>
      <c r="AA9" s="2050"/>
      <c r="AB9" s="3144"/>
      <c r="AC9" s="3145"/>
      <c r="AD9" s="2104"/>
    </row>
    <row r="10" spans="1:30" ht="20.100000000000001" customHeight="1">
      <c r="A10" s="1664"/>
      <c r="B10" s="3146" t="s">
        <v>1201</v>
      </c>
      <c r="C10" s="1689" t="s">
        <v>1202</v>
      </c>
      <c r="D10" s="1690"/>
      <c r="E10" s="1691"/>
      <c r="F10" s="1692"/>
      <c r="G10" s="1693"/>
      <c r="H10" s="1694"/>
      <c r="I10" s="1694"/>
      <c r="J10" s="1694"/>
      <c r="K10" s="1695"/>
      <c r="L10" s="1696"/>
      <c r="M10" s="1697"/>
      <c r="Y10" s="3148" t="s">
        <v>1201</v>
      </c>
      <c r="Z10" s="1712">
        <f>AVERAGE(AC11:AC28)</f>
        <v>2.5428571428571431</v>
      </c>
      <c r="AA10" s="1713">
        <f>COUNTA(AD10:AD28)</f>
        <v>7</v>
      </c>
      <c r="AB10" s="1783" t="str">
        <f>C10</f>
        <v>【居住者の健康維持増進】</v>
      </c>
      <c r="AC10" s="1136"/>
      <c r="AD10" s="2049"/>
    </row>
    <row r="11" spans="1:30" ht="27.6" customHeight="1">
      <c r="A11" s="1700"/>
      <c r="B11" s="3147"/>
      <c r="C11" s="3149" t="s">
        <v>467</v>
      </c>
      <c r="D11" s="3152" t="s">
        <v>1203</v>
      </c>
      <c r="E11" s="1701" t="s">
        <v>1204</v>
      </c>
      <c r="F11" s="1702" t="s">
        <v>1205</v>
      </c>
      <c r="G11" s="1703" t="s">
        <v>1206</v>
      </c>
      <c r="H11" s="1704" t="str">
        <f>IF(T11=1,"●","")</f>
        <v/>
      </c>
      <c r="I11" s="1705" t="str">
        <f>IF(T11=2,"●","")</f>
        <v/>
      </c>
      <c r="J11" s="1706" t="str">
        <f>IF(T11=3,"●","")</f>
        <v>●</v>
      </c>
      <c r="K11" s="1611"/>
      <c r="L11" s="1996" t="s">
        <v>1624</v>
      </c>
      <c r="M11" s="1708">
        <f>U11</f>
        <v>3</v>
      </c>
      <c r="P11">
        <v>1</v>
      </c>
      <c r="Q11" s="1709" t="s">
        <v>1207</v>
      </c>
      <c r="R11" s="1710" t="s">
        <v>1208</v>
      </c>
      <c r="S11" s="2053">
        <f>スコア!M12</f>
        <v>5</v>
      </c>
      <c r="T11" s="1711">
        <f t="shared" ref="T11:T17" si="0">IF(S11=0,"",IF(S11&lt;=S$7,1,IF(S11&lt;U$7,2,IF(S11&gt;=U$7,3,""))))</f>
        <v>3</v>
      </c>
      <c r="U11" s="1711">
        <f>IF(T11="","",IF(T11=3,3,IF(V11=TRUE,T11+1,T11)))</f>
        <v>3</v>
      </c>
      <c r="V11" s="2075" t="b">
        <v>0</v>
      </c>
      <c r="Y11" s="3148"/>
      <c r="Z11" s="1712"/>
      <c r="AA11" s="1713"/>
      <c r="AB11" s="3155" t="s">
        <v>467</v>
      </c>
      <c r="AC11" s="1714">
        <f>IFERROR(AVERAGE(M11:M15),"")</f>
        <v>2.8</v>
      </c>
      <c r="AD11" s="1699">
        <f>COUNTA(E11:E15)</f>
        <v>5</v>
      </c>
    </row>
    <row r="12" spans="1:30" ht="27.6" customHeight="1">
      <c r="A12" s="1664"/>
      <c r="B12" s="3147"/>
      <c r="C12" s="3150"/>
      <c r="D12" s="3153"/>
      <c r="E12" s="1715" t="s">
        <v>1209</v>
      </c>
      <c r="F12" s="1716" t="s">
        <v>1210</v>
      </c>
      <c r="G12" s="1717" t="s">
        <v>1211</v>
      </c>
      <c r="H12" s="1718" t="str">
        <f t="shared" ref="H12:H17" si="1">IF(T12=1,"●","")</f>
        <v/>
      </c>
      <c r="I12" s="1719" t="str">
        <f t="shared" ref="I12:I17" si="2">IF(T12=2,"●","")</f>
        <v/>
      </c>
      <c r="J12" s="1720" t="str">
        <f t="shared" ref="J12:J17" si="3">IF(T12=3,"●","")</f>
        <v>●</v>
      </c>
      <c r="K12" s="1612"/>
      <c r="L12" s="2005"/>
      <c r="M12" s="1721">
        <f t="shared" ref="M12:M42" si="4">U12</f>
        <v>3</v>
      </c>
      <c r="P12">
        <v>2</v>
      </c>
      <c r="Q12" s="1722" t="s">
        <v>1212</v>
      </c>
      <c r="R12" s="1723" t="s">
        <v>1213</v>
      </c>
      <c r="S12" s="2054">
        <f>スコア!M13</f>
        <v>4</v>
      </c>
      <c r="T12" s="1724">
        <f t="shared" si="0"/>
        <v>3</v>
      </c>
      <c r="U12" s="1724">
        <f t="shared" ref="U12:U21" si="5">IF(T12="","",IF(T12=3,3,IF(V12=TRUE,T12+1,T12)))</f>
        <v>3</v>
      </c>
      <c r="V12" s="2076" t="b">
        <v>0</v>
      </c>
      <c r="Y12" s="3148"/>
      <c r="Z12" s="1712"/>
      <c r="AA12" s="1713"/>
      <c r="AB12" s="3156"/>
      <c r="AC12" s="1725"/>
      <c r="AD12" s="1713"/>
    </row>
    <row r="13" spans="1:30" ht="27.6" customHeight="1">
      <c r="A13" s="1664"/>
      <c r="B13" s="3147"/>
      <c r="C13" s="3150"/>
      <c r="D13" s="3153"/>
      <c r="E13" s="1715" t="s">
        <v>1214</v>
      </c>
      <c r="F13" s="1716" t="s">
        <v>1215</v>
      </c>
      <c r="G13" s="1717" t="s">
        <v>1216</v>
      </c>
      <c r="H13" s="1718" t="str">
        <f t="shared" si="1"/>
        <v/>
      </c>
      <c r="I13" s="1719" t="str">
        <f t="shared" si="2"/>
        <v>●</v>
      </c>
      <c r="J13" s="1720" t="str">
        <f t="shared" si="3"/>
        <v/>
      </c>
      <c r="K13" s="1612"/>
      <c r="L13" s="2005"/>
      <c r="M13" s="1721">
        <f t="shared" si="4"/>
        <v>2</v>
      </c>
      <c r="P13">
        <v>3</v>
      </c>
      <c r="Q13" s="1722" t="s">
        <v>1217</v>
      </c>
      <c r="R13" s="1723" t="s">
        <v>1218</v>
      </c>
      <c r="S13" s="2054">
        <f>スコア!M15</f>
        <v>3</v>
      </c>
      <c r="T13" s="1724">
        <f t="shared" si="0"/>
        <v>2</v>
      </c>
      <c r="U13" s="1724">
        <f t="shared" si="5"/>
        <v>2</v>
      </c>
      <c r="V13" s="2076" t="b">
        <v>0</v>
      </c>
      <c r="Y13" s="3148"/>
      <c r="Z13" s="1712"/>
      <c r="AA13" s="1713"/>
      <c r="AB13" s="3156"/>
      <c r="AC13" s="1725"/>
      <c r="AD13" s="1713"/>
    </row>
    <row r="14" spans="1:30" ht="27.6" customHeight="1">
      <c r="A14" s="1664"/>
      <c r="B14" s="3147"/>
      <c r="C14" s="3150"/>
      <c r="D14" s="3153"/>
      <c r="E14" s="1726" t="s">
        <v>1219</v>
      </c>
      <c r="F14" s="1727" t="s">
        <v>1220</v>
      </c>
      <c r="G14" s="1717" t="s">
        <v>1221</v>
      </c>
      <c r="H14" s="1728" t="str">
        <f t="shared" si="1"/>
        <v/>
      </c>
      <c r="I14" s="1729" t="str">
        <f t="shared" si="2"/>
        <v/>
      </c>
      <c r="J14" s="1730" t="str">
        <f t="shared" si="3"/>
        <v>●</v>
      </c>
      <c r="K14" s="1997"/>
      <c r="L14" s="2008"/>
      <c r="M14" s="1731">
        <f t="shared" si="4"/>
        <v>3</v>
      </c>
      <c r="P14">
        <v>4</v>
      </c>
      <c r="Q14" s="1722" t="s">
        <v>1222</v>
      </c>
      <c r="R14" s="1723" t="s">
        <v>1223</v>
      </c>
      <c r="S14" s="2054">
        <f>スコア!M16</f>
        <v>5</v>
      </c>
      <c r="T14" s="1724">
        <f t="shared" si="0"/>
        <v>3</v>
      </c>
      <c r="U14" s="1724">
        <f t="shared" si="5"/>
        <v>3</v>
      </c>
      <c r="V14" s="2076" t="b">
        <v>0</v>
      </c>
      <c r="Y14" s="3148"/>
      <c r="Z14" s="1712"/>
      <c r="AA14" s="1713"/>
      <c r="AB14" s="3156"/>
      <c r="AC14" s="1725"/>
      <c r="AD14" s="1713"/>
    </row>
    <row r="15" spans="1:30" ht="27.6" customHeight="1">
      <c r="A15" s="1664"/>
      <c r="B15" s="3147"/>
      <c r="C15" s="3151"/>
      <c r="D15" s="3154"/>
      <c r="E15" s="1733" t="s">
        <v>1224</v>
      </c>
      <c r="F15" s="1734" t="s">
        <v>1225</v>
      </c>
      <c r="G15" s="1735" t="s">
        <v>1226</v>
      </c>
      <c r="H15" s="1736" t="str">
        <f t="shared" si="1"/>
        <v/>
      </c>
      <c r="I15" s="1737" t="str">
        <f t="shared" si="2"/>
        <v/>
      </c>
      <c r="J15" s="1738" t="str">
        <f t="shared" si="3"/>
        <v>●</v>
      </c>
      <c r="K15" s="1992"/>
      <c r="L15" s="2006"/>
      <c r="M15" s="1739">
        <f t="shared" si="4"/>
        <v>3</v>
      </c>
      <c r="P15">
        <v>5</v>
      </c>
      <c r="Q15" s="1740" t="s">
        <v>1227</v>
      </c>
      <c r="R15" s="1741" t="s">
        <v>1228</v>
      </c>
      <c r="S15" s="2055">
        <f>スコア!M18</f>
        <v>5</v>
      </c>
      <c r="T15" s="1742">
        <f t="shared" si="0"/>
        <v>3</v>
      </c>
      <c r="U15" s="1742">
        <f t="shared" si="5"/>
        <v>3</v>
      </c>
      <c r="V15" s="2077" t="b">
        <v>0</v>
      </c>
      <c r="Y15" s="3148"/>
      <c r="Z15" s="1712"/>
      <c r="AA15" s="1713"/>
      <c r="AB15" s="3157"/>
      <c r="AC15" s="1725"/>
      <c r="AD15" s="1713"/>
    </row>
    <row r="16" spans="1:30" ht="27.6" customHeight="1">
      <c r="A16" s="1664"/>
      <c r="B16" s="1743"/>
      <c r="C16" s="3149" t="s">
        <v>447</v>
      </c>
      <c r="D16" s="3152" t="s">
        <v>1229</v>
      </c>
      <c r="E16" s="1701" t="s">
        <v>1230</v>
      </c>
      <c r="F16" s="1702" t="s">
        <v>1231</v>
      </c>
      <c r="G16" s="1717" t="s">
        <v>1232</v>
      </c>
      <c r="H16" s="1744" t="str">
        <f t="shared" si="1"/>
        <v/>
      </c>
      <c r="I16" s="1745" t="str">
        <f t="shared" si="2"/>
        <v>●</v>
      </c>
      <c r="J16" s="1746" t="str">
        <f t="shared" si="3"/>
        <v/>
      </c>
      <c r="K16" s="1613"/>
      <c r="L16" s="2007"/>
      <c r="M16" s="1747">
        <f t="shared" si="4"/>
        <v>2</v>
      </c>
      <c r="P16">
        <v>6</v>
      </c>
      <c r="Q16" s="1709" t="s">
        <v>1233</v>
      </c>
      <c r="R16" s="1710" t="s">
        <v>1234</v>
      </c>
      <c r="S16" s="2053">
        <f>スコア!M21</f>
        <v>3</v>
      </c>
      <c r="T16" s="1711">
        <f t="shared" si="0"/>
        <v>2</v>
      </c>
      <c r="U16" s="1711">
        <f t="shared" si="5"/>
        <v>2</v>
      </c>
      <c r="V16" s="2078" t="b">
        <v>0</v>
      </c>
      <c r="Y16" s="1748"/>
      <c r="Z16" s="1712"/>
      <c r="AA16" s="1713"/>
      <c r="AB16" s="3155" t="s">
        <v>447</v>
      </c>
      <c r="AC16" s="1714">
        <f>IFERROR(AVERAGE(M16:M18),"")</f>
        <v>2</v>
      </c>
      <c r="AD16" s="1699">
        <f>COUNTA(E16:E18)</f>
        <v>3</v>
      </c>
    </row>
    <row r="17" spans="1:30" ht="27.6" customHeight="1">
      <c r="A17" s="1664"/>
      <c r="B17" s="1743"/>
      <c r="C17" s="3150"/>
      <c r="D17" s="3153"/>
      <c r="E17" s="1726" t="s">
        <v>1235</v>
      </c>
      <c r="F17" s="1727" t="s">
        <v>1236</v>
      </c>
      <c r="G17" s="1717" t="s">
        <v>1237</v>
      </c>
      <c r="H17" s="1728" t="str">
        <f t="shared" si="1"/>
        <v/>
      </c>
      <c r="I17" s="1729" t="str">
        <f t="shared" si="2"/>
        <v/>
      </c>
      <c r="J17" s="1730" t="str">
        <f t="shared" si="3"/>
        <v>●</v>
      </c>
      <c r="K17" s="1997"/>
      <c r="L17" s="2008"/>
      <c r="M17" s="1731">
        <f t="shared" si="4"/>
        <v>3</v>
      </c>
      <c r="P17">
        <v>7</v>
      </c>
      <c r="Q17" s="1722" t="s">
        <v>1238</v>
      </c>
      <c r="R17" s="1723" t="s">
        <v>1239</v>
      </c>
      <c r="S17" s="2054">
        <f>スコア!M22</f>
        <v>5</v>
      </c>
      <c r="T17" s="1724">
        <f t="shared" si="0"/>
        <v>3</v>
      </c>
      <c r="U17" s="1724">
        <f t="shared" si="5"/>
        <v>3</v>
      </c>
      <c r="V17" s="2076" t="b">
        <v>0</v>
      </c>
      <c r="Y17" s="1748"/>
      <c r="Z17" s="1712"/>
      <c r="AA17" s="1713"/>
      <c r="AB17" s="3156"/>
      <c r="AC17" s="1725"/>
      <c r="AD17" s="1713"/>
    </row>
    <row r="18" spans="1:30" ht="172.5" customHeight="1">
      <c r="A18" s="1664"/>
      <c r="B18" s="1743"/>
      <c r="C18" s="3151"/>
      <c r="D18" s="3154"/>
      <c r="E18" s="1726" t="s">
        <v>1240</v>
      </c>
      <c r="F18" s="1749" t="s">
        <v>1241</v>
      </c>
      <c r="G18" s="1750" t="s">
        <v>1242</v>
      </c>
      <c r="H18" s="1614"/>
      <c r="I18" s="1615"/>
      <c r="J18" s="1616"/>
      <c r="K18" s="1992"/>
      <c r="L18" s="1998"/>
      <c r="M18" s="1739">
        <f t="shared" si="4"/>
        <v>1</v>
      </c>
      <c r="P18">
        <v>8</v>
      </c>
      <c r="Q18" s="1751"/>
      <c r="R18" s="1752"/>
      <c r="S18" s="2056">
        <v>1</v>
      </c>
      <c r="T18" s="1742">
        <f>IF(S18=0,"",IF(S18=4,"",S18))</f>
        <v>1</v>
      </c>
      <c r="U18" s="1742">
        <f t="shared" si="5"/>
        <v>1</v>
      </c>
      <c r="V18" s="2079" t="b">
        <v>0</v>
      </c>
      <c r="Y18" s="1748"/>
      <c r="Z18" s="1712"/>
      <c r="AA18" s="1713"/>
      <c r="AB18" s="3157"/>
      <c r="AC18" s="1753"/>
      <c r="AD18" s="1754"/>
    </row>
    <row r="19" spans="1:30" ht="27.6" customHeight="1">
      <c r="A19" s="1664"/>
      <c r="B19" s="1743"/>
      <c r="C19" s="3149" t="s">
        <v>1243</v>
      </c>
      <c r="D19" s="3152" t="s">
        <v>1244</v>
      </c>
      <c r="E19" s="1755" t="s">
        <v>1245</v>
      </c>
      <c r="F19" s="1817" t="s">
        <v>1246</v>
      </c>
      <c r="G19" s="1756" t="s">
        <v>1247</v>
      </c>
      <c r="H19" s="1757" t="str">
        <f>IF(T19=1,"●","")</f>
        <v/>
      </c>
      <c r="I19" s="1758" t="str">
        <f>IF(T19=2,"●","")</f>
        <v/>
      </c>
      <c r="J19" s="1758" t="str">
        <f>IF(T19=3,"●","")</f>
        <v>●</v>
      </c>
      <c r="K19" s="1613"/>
      <c r="L19" s="2002"/>
      <c r="M19" s="1747">
        <f t="shared" si="4"/>
        <v>3</v>
      </c>
      <c r="P19">
        <v>9</v>
      </c>
      <c r="Q19" s="1709" t="s">
        <v>1248</v>
      </c>
      <c r="R19" s="1710" t="s">
        <v>331</v>
      </c>
      <c r="S19" s="2057">
        <f>スコア!M26</f>
        <v>5</v>
      </c>
      <c r="T19" s="1711">
        <f>IF(S19=0,"",IF(S19&lt;=S$7,1,IF(S19&lt;U$7,2,IF(S19&gt;=U$7,3,""))))</f>
        <v>3</v>
      </c>
      <c r="U19" s="1711">
        <f t="shared" si="5"/>
        <v>3</v>
      </c>
      <c r="V19" s="2078" t="b">
        <v>0</v>
      </c>
      <c r="Y19" s="1748"/>
      <c r="Z19" s="1712"/>
      <c r="AA19" s="1713"/>
      <c r="AB19" s="3155" t="s">
        <v>1243</v>
      </c>
      <c r="AC19" s="1714">
        <f>IFERROR(AVERAGE(M19:M20),"")</f>
        <v>2</v>
      </c>
      <c r="AD19" s="1699">
        <f>COUNTA(E19:E20)</f>
        <v>2</v>
      </c>
    </row>
    <row r="20" spans="1:30" s="1761" customFormat="1" ht="110.25" customHeight="1">
      <c r="A20" s="1759"/>
      <c r="B20" s="1743"/>
      <c r="C20" s="3150"/>
      <c r="D20" s="3153"/>
      <c r="E20" s="1726" t="s">
        <v>1249</v>
      </c>
      <c r="F20" s="1749" t="s">
        <v>1250</v>
      </c>
      <c r="G20" s="1750" t="s">
        <v>1251</v>
      </c>
      <c r="H20" s="1617"/>
      <c r="I20" s="1618"/>
      <c r="J20" s="1619"/>
      <c r="K20" s="1620"/>
      <c r="L20" s="1621"/>
      <c r="M20" s="1760">
        <f t="shared" si="4"/>
        <v>1</v>
      </c>
      <c r="P20" s="1761">
        <v>20</v>
      </c>
      <c r="Q20" s="1762"/>
      <c r="R20" s="1763"/>
      <c r="S20" s="2058">
        <v>1</v>
      </c>
      <c r="T20" s="1742">
        <f>IF(S20=0,"",IF(S20=4,"",S20))</f>
        <v>1</v>
      </c>
      <c r="U20" s="1742">
        <f t="shared" si="5"/>
        <v>1</v>
      </c>
      <c r="V20" s="2080" t="b">
        <v>0</v>
      </c>
      <c r="Y20" s="1748"/>
      <c r="Z20" s="1764"/>
      <c r="AA20" s="1765"/>
      <c r="AB20" s="3156"/>
      <c r="AC20" s="1766"/>
      <c r="AD20" s="1767"/>
    </row>
    <row r="21" spans="1:30" ht="27.6" customHeight="1">
      <c r="A21" s="1664"/>
      <c r="B21" s="1743"/>
      <c r="C21" s="1768" t="s">
        <v>1252</v>
      </c>
      <c r="D21" s="1769" t="s">
        <v>1253</v>
      </c>
      <c r="E21" s="1770" t="s">
        <v>1254</v>
      </c>
      <c r="F21" s="1771" t="s">
        <v>1255</v>
      </c>
      <c r="G21" s="1772" t="s">
        <v>1256</v>
      </c>
      <c r="H21" s="1773" t="str">
        <f>IF(T21=1,"●","")</f>
        <v/>
      </c>
      <c r="I21" s="1774" t="str">
        <f>IF(T21=2,"●","")</f>
        <v/>
      </c>
      <c r="J21" s="1774" t="str">
        <f>IF(T21=3,"●","")</f>
        <v>●</v>
      </c>
      <c r="K21" s="1999"/>
      <c r="L21" s="2011"/>
      <c r="M21" s="1775">
        <f t="shared" si="4"/>
        <v>3</v>
      </c>
      <c r="P21">
        <v>22</v>
      </c>
      <c r="Q21" s="1776" t="s">
        <v>1257</v>
      </c>
      <c r="R21" s="1777" t="s">
        <v>1258</v>
      </c>
      <c r="S21" s="2059">
        <f>スコア!M28</f>
        <v>5</v>
      </c>
      <c r="T21" s="1778">
        <f>IF(S21=0,"",IF(S21&lt;=S$7,1,IF(S21&lt;U$7,2,IF(S21&gt;=U$7,3,""))))</f>
        <v>3</v>
      </c>
      <c r="U21" s="1778">
        <f t="shared" si="5"/>
        <v>3</v>
      </c>
      <c r="V21" s="2081" t="b">
        <v>0</v>
      </c>
      <c r="Y21" s="1748"/>
      <c r="Z21" s="1712"/>
      <c r="AA21" s="1713"/>
      <c r="AB21" s="1779" t="s">
        <v>1252</v>
      </c>
      <c r="AC21" s="1714">
        <f>IFERROR(AVERAGE(M21),"")</f>
        <v>3</v>
      </c>
      <c r="AD21" s="1780">
        <f>COUNTA(E21)</f>
        <v>1</v>
      </c>
    </row>
    <row r="22" spans="1:30" ht="20.100000000000001" customHeight="1">
      <c r="A22" s="1664"/>
      <c r="B22" s="1743"/>
      <c r="C22" s="1781" t="s">
        <v>1259</v>
      </c>
      <c r="D22" s="1782"/>
      <c r="E22" s="1783"/>
      <c r="F22" s="1732"/>
      <c r="G22" s="1784"/>
      <c r="H22" s="1785"/>
      <c r="I22" s="1785"/>
      <c r="J22" s="1785"/>
      <c r="K22" s="1695"/>
      <c r="L22" s="1696"/>
      <c r="M22" s="1697"/>
      <c r="Q22" s="1786"/>
      <c r="S22" s="2060"/>
      <c r="T22" s="1787"/>
      <c r="U22" s="1787"/>
      <c r="V22" s="2082"/>
      <c r="Y22" s="1748"/>
      <c r="Z22" s="1712"/>
      <c r="AA22" s="1713"/>
      <c r="AB22" s="1783" t="str">
        <f>C22</f>
        <v>【居住者の安全性向上】</v>
      </c>
      <c r="AC22" s="1788"/>
      <c r="AD22" s="1789"/>
    </row>
    <row r="23" spans="1:30" ht="27.6" customHeight="1">
      <c r="A23" s="1664"/>
      <c r="B23" s="1743"/>
      <c r="C23" s="3149" t="s">
        <v>1260</v>
      </c>
      <c r="D23" s="3152" t="s">
        <v>1261</v>
      </c>
      <c r="E23" s="1715" t="s">
        <v>1262</v>
      </c>
      <c r="F23" s="1716" t="s">
        <v>1263</v>
      </c>
      <c r="G23" s="1717" t="s">
        <v>1264</v>
      </c>
      <c r="H23" s="1790" t="str">
        <f t="shared" ref="H23:H25" si="6">IF(T23=1,"●","")</f>
        <v/>
      </c>
      <c r="I23" s="1791" t="str">
        <f t="shared" ref="I23:I25" si="7">IF(T23=2,"●","")</f>
        <v/>
      </c>
      <c r="J23" s="1792" t="str">
        <f t="shared" ref="J23:J25" si="8">IF(T23=3,"●","")</f>
        <v>●</v>
      </c>
      <c r="K23" s="1612"/>
      <c r="L23" s="2005"/>
      <c r="M23" s="1721">
        <f t="shared" si="4"/>
        <v>3</v>
      </c>
      <c r="P23">
        <v>23</v>
      </c>
      <c r="Q23" s="2401" t="s">
        <v>1789</v>
      </c>
      <c r="R23" s="1710" t="s">
        <v>1265</v>
      </c>
      <c r="S23" s="2400">
        <f>スコア!M57</f>
        <v>5</v>
      </c>
      <c r="T23" s="1711">
        <f>IF(S23=0,"",IF(S23&lt;=S$7,1,IF(S23&lt;U$7,2,IF(S23&gt;=U$7,3,""))))</f>
        <v>3</v>
      </c>
      <c r="U23" s="1711">
        <f t="shared" ref="U23:U26" si="9">IF(T23="","",IF(T23=3,3,IF(V23=TRUE,T23+1,T23)))</f>
        <v>3</v>
      </c>
      <c r="V23" s="2078" t="b">
        <v>0</v>
      </c>
      <c r="Y23" s="1748"/>
      <c r="Z23" s="1712"/>
      <c r="AA23" s="1713"/>
      <c r="AB23" s="3165" t="s">
        <v>1260</v>
      </c>
      <c r="AC23" s="1714">
        <f>IFERROR(AVERAGE(M23:M24),"")</f>
        <v>3</v>
      </c>
      <c r="AD23" s="1699">
        <f>COUNTA(E23:E24)</f>
        <v>2</v>
      </c>
    </row>
    <row r="24" spans="1:30" ht="27.6" customHeight="1">
      <c r="A24" s="1664"/>
      <c r="B24" s="1743"/>
      <c r="C24" s="3151"/>
      <c r="D24" s="3154"/>
      <c r="E24" s="1726" t="s">
        <v>1266</v>
      </c>
      <c r="F24" s="1727" t="s">
        <v>1267</v>
      </c>
      <c r="G24" s="1750" t="s">
        <v>1268</v>
      </c>
      <c r="H24" s="1793" t="str">
        <f t="shared" si="6"/>
        <v/>
      </c>
      <c r="I24" s="1794" t="str">
        <f t="shared" si="7"/>
        <v/>
      </c>
      <c r="J24" s="1795" t="str">
        <f t="shared" si="8"/>
        <v>●</v>
      </c>
      <c r="K24" s="1997"/>
      <c r="L24" s="2008"/>
      <c r="M24" s="1731">
        <f t="shared" si="4"/>
        <v>3</v>
      </c>
      <c r="Q24" s="1796" t="s">
        <v>1269</v>
      </c>
      <c r="R24" s="1797" t="s">
        <v>1682</v>
      </c>
      <c r="S24" s="2061">
        <f>スコア!M24</f>
        <v>5</v>
      </c>
      <c r="T24" s="1798">
        <f>IF(S24=0,"",IF(S24&lt;=S$7,1,IF(S24&lt;U$7,2,IF(S24&gt;=U$7,3,""))))</f>
        <v>3</v>
      </c>
      <c r="U24" s="1798">
        <f t="shared" si="9"/>
        <v>3</v>
      </c>
      <c r="V24" s="2076" t="b">
        <v>0</v>
      </c>
      <c r="Y24" s="1748"/>
      <c r="Z24" s="1712"/>
      <c r="AA24" s="1713"/>
      <c r="AB24" s="3157"/>
      <c r="AC24" s="1753"/>
      <c r="AD24" s="1754"/>
    </row>
    <row r="25" spans="1:30" ht="27.6" customHeight="1">
      <c r="A25" s="1664"/>
      <c r="B25" s="1743"/>
      <c r="C25" s="3149" t="s">
        <v>1270</v>
      </c>
      <c r="D25" s="3166" t="s">
        <v>1271</v>
      </c>
      <c r="E25" s="1799" t="s">
        <v>1272</v>
      </c>
      <c r="F25" s="1800" t="s">
        <v>1273</v>
      </c>
      <c r="G25" s="1756" t="s">
        <v>1832</v>
      </c>
      <c r="H25" s="1757" t="str">
        <f t="shared" si="6"/>
        <v/>
      </c>
      <c r="I25" s="1758" t="str">
        <f t="shared" si="7"/>
        <v/>
      </c>
      <c r="J25" s="1801" t="str">
        <f t="shared" si="8"/>
        <v>●</v>
      </c>
      <c r="K25" s="1627"/>
      <c r="L25" s="2010"/>
      <c r="M25" s="1802">
        <f t="shared" si="4"/>
        <v>3</v>
      </c>
      <c r="Q25" s="1722" t="s">
        <v>1274</v>
      </c>
      <c r="R25" s="1723" t="s">
        <v>1275</v>
      </c>
      <c r="S25" s="2062">
        <f>スコア!M54</f>
        <v>4</v>
      </c>
      <c r="T25" s="1724">
        <f>IF(S25=0,"",IF(S25&lt;=S$7,1,IF(S25&lt;U$7,2,IF(S25&gt;=U$7,3,""))))</f>
        <v>3</v>
      </c>
      <c r="U25" s="1724">
        <f t="shared" si="9"/>
        <v>3</v>
      </c>
      <c r="V25" s="2076" t="b">
        <v>0</v>
      </c>
      <c r="Y25" s="1748"/>
      <c r="Z25" s="1712"/>
      <c r="AA25" s="1713"/>
      <c r="AB25" s="3165" t="s">
        <v>1270</v>
      </c>
      <c r="AC25" s="1714">
        <f>IFERROR(AVERAGE(M25:M26),"")</f>
        <v>2</v>
      </c>
      <c r="AD25" s="1699">
        <f>COUNTA(E25:E26)</f>
        <v>2</v>
      </c>
    </row>
    <row r="26" spans="1:30" ht="74.25" customHeight="1">
      <c r="A26" s="1664"/>
      <c r="B26" s="1743"/>
      <c r="C26" s="3151"/>
      <c r="D26" s="3167"/>
      <c r="E26" s="1803" t="s">
        <v>1276</v>
      </c>
      <c r="F26" s="1804" t="s">
        <v>1277</v>
      </c>
      <c r="G26" s="1858" t="s">
        <v>1833</v>
      </c>
      <c r="H26" s="1622"/>
      <c r="I26" s="1623"/>
      <c r="J26" s="1624"/>
      <c r="K26" s="1999"/>
      <c r="L26" s="2001"/>
      <c r="M26" s="1775">
        <f t="shared" si="4"/>
        <v>1</v>
      </c>
      <c r="Q26" s="1751"/>
      <c r="R26" s="1752"/>
      <c r="S26" s="2056">
        <v>1</v>
      </c>
      <c r="T26" s="1742">
        <f>IF(S26=0,"",IF(S26=4,"",S26))</f>
        <v>1</v>
      </c>
      <c r="U26" s="1742">
        <f t="shared" si="9"/>
        <v>1</v>
      </c>
      <c r="V26" s="2079" t="b">
        <v>0</v>
      </c>
      <c r="Y26" s="1748"/>
      <c r="Z26" s="1712"/>
      <c r="AA26" s="1713"/>
      <c r="AB26" s="3157"/>
      <c r="AC26" s="1753"/>
      <c r="AD26" s="1754"/>
    </row>
    <row r="27" spans="1:30" ht="20.100000000000001" customHeight="1">
      <c r="A27" s="1664"/>
      <c r="B27" s="1743"/>
      <c r="C27" s="1805" t="s">
        <v>1278</v>
      </c>
      <c r="D27" s="1784"/>
      <c r="E27" s="1692"/>
      <c r="F27" s="1784"/>
      <c r="G27" s="2799"/>
      <c r="H27" s="1806"/>
      <c r="I27" s="1806"/>
      <c r="J27" s="1806"/>
      <c r="K27" s="1695"/>
      <c r="L27" s="1696"/>
      <c r="M27" s="1697"/>
      <c r="Q27" s="1786"/>
      <c r="S27" s="2060"/>
      <c r="T27" s="1787"/>
      <c r="U27" s="1787"/>
      <c r="V27" s="2082"/>
      <c r="Y27" s="1748"/>
      <c r="Z27" s="1712"/>
      <c r="AA27" s="1713"/>
      <c r="AB27" s="1783" t="str">
        <f>C27</f>
        <v>【近隣居住者の健康被害防止】</v>
      </c>
      <c r="AC27" s="1788"/>
      <c r="AD27" s="1789"/>
    </row>
    <row r="28" spans="1:30" ht="27.6" customHeight="1">
      <c r="A28" s="1664"/>
      <c r="B28" s="1807"/>
      <c r="C28" s="1770" t="s">
        <v>1279</v>
      </c>
      <c r="D28" s="1808" t="s">
        <v>1280</v>
      </c>
      <c r="E28" s="1809" t="s">
        <v>1281</v>
      </c>
      <c r="F28" s="1784" t="s">
        <v>1282</v>
      </c>
      <c r="G28" s="1772" t="s">
        <v>1283</v>
      </c>
      <c r="H28" s="1773" t="str">
        <f t="shared" ref="H28:H33" si="10">IF(T28=1,"●","")</f>
        <v/>
      </c>
      <c r="I28" s="1774" t="str">
        <f t="shared" ref="I28:I33" si="11">IF(T28=2,"●","")</f>
        <v/>
      </c>
      <c r="J28" s="1810" t="str">
        <f t="shared" ref="J28:J33" si="12">IF(T28=3,"●","")</f>
        <v>●</v>
      </c>
      <c r="K28" s="1988"/>
      <c r="L28" s="1989"/>
      <c r="M28" s="1811">
        <f t="shared" si="4"/>
        <v>3</v>
      </c>
      <c r="Q28" s="1776" t="s">
        <v>1284</v>
      </c>
      <c r="R28" s="1777" t="s">
        <v>806</v>
      </c>
      <c r="S28" s="2059">
        <f>スコア!M102</f>
        <v>5</v>
      </c>
      <c r="T28" s="1778">
        <f t="shared" ref="T28:T33" si="13">IF(S28=0,"",IF(S28&lt;=S$7,1,IF(S28&lt;U$7,2,IF(S28&gt;=U$7,3,""))))</f>
        <v>3</v>
      </c>
      <c r="U28" s="1778">
        <f t="shared" ref="U28:U39" si="14">IF(T28="","",IF(T28=3,3,IF(V28=TRUE,T28+1,T28)))</f>
        <v>3</v>
      </c>
      <c r="V28" s="2081" t="b">
        <v>0</v>
      </c>
      <c r="Y28" s="1812"/>
      <c r="Z28" s="1813"/>
      <c r="AA28" s="1754"/>
      <c r="AB28" s="1814" t="s">
        <v>1279</v>
      </c>
      <c r="AC28" s="1714">
        <f>IFERROR(AVERAGE(M28),"")</f>
        <v>3</v>
      </c>
      <c r="AD28" s="1815">
        <f>COUNTA(E28)</f>
        <v>1</v>
      </c>
    </row>
    <row r="29" spans="1:30" ht="27.6" customHeight="1">
      <c r="A29" s="1664"/>
      <c r="B29" s="3176" t="s">
        <v>1285</v>
      </c>
      <c r="C29" s="3178" t="s">
        <v>1286</v>
      </c>
      <c r="D29" s="3170" t="s">
        <v>1287</v>
      </c>
      <c r="E29" s="1816" t="s">
        <v>1288</v>
      </c>
      <c r="F29" s="1817" t="s">
        <v>1205</v>
      </c>
      <c r="G29" s="1818" t="s">
        <v>1289</v>
      </c>
      <c r="H29" s="1718" t="str">
        <f t="shared" si="10"/>
        <v/>
      </c>
      <c r="I29" s="1745" t="str">
        <f t="shared" si="11"/>
        <v/>
      </c>
      <c r="J29" s="1745" t="str">
        <f t="shared" si="12"/>
        <v>●</v>
      </c>
      <c r="K29" s="1613"/>
      <c r="L29" s="2007"/>
      <c r="M29" s="1747">
        <f t="shared" si="4"/>
        <v>3</v>
      </c>
      <c r="Q29" s="1709" t="s">
        <v>1207</v>
      </c>
      <c r="R29" s="1710" t="s">
        <v>1208</v>
      </c>
      <c r="S29" s="2057">
        <f>スコア!M12</f>
        <v>5</v>
      </c>
      <c r="T29" s="1711">
        <f t="shared" si="13"/>
        <v>3</v>
      </c>
      <c r="U29" s="1711">
        <f t="shared" si="14"/>
        <v>3</v>
      </c>
      <c r="V29" s="2078" t="b">
        <v>0</v>
      </c>
      <c r="Y29" s="3179" t="s">
        <v>1285</v>
      </c>
      <c r="Z29" s="1712">
        <f>AVERAGE(AC29:AC35)</f>
        <v>1.9</v>
      </c>
      <c r="AA29" s="1713">
        <f>COUNTA(AD29:AD35)</f>
        <v>2</v>
      </c>
      <c r="AB29" s="3156" t="s">
        <v>1286</v>
      </c>
      <c r="AC29" s="1714">
        <f>IFERROR(AVERAGE(M29:M33),"")</f>
        <v>2.8</v>
      </c>
      <c r="AD29" s="1713">
        <f>COUNTA(E29:E33)</f>
        <v>5</v>
      </c>
    </row>
    <row r="30" spans="1:30" ht="27.6" customHeight="1">
      <c r="A30" s="1664"/>
      <c r="B30" s="3177"/>
      <c r="C30" s="3150"/>
      <c r="D30" s="3153"/>
      <c r="E30" s="1819" t="s">
        <v>1290</v>
      </c>
      <c r="F30" s="1702" t="s">
        <v>1210</v>
      </c>
      <c r="G30" s="1717" t="s">
        <v>1291</v>
      </c>
      <c r="H30" s="1744" t="str">
        <f t="shared" si="10"/>
        <v/>
      </c>
      <c r="I30" s="1745" t="str">
        <f t="shared" si="11"/>
        <v/>
      </c>
      <c r="J30" s="1745" t="str">
        <f t="shared" si="12"/>
        <v>●</v>
      </c>
      <c r="K30" s="1613"/>
      <c r="L30" s="2007"/>
      <c r="M30" s="1747">
        <f t="shared" si="4"/>
        <v>3</v>
      </c>
      <c r="Q30" s="1722" t="s">
        <v>1212</v>
      </c>
      <c r="R30" s="1723" t="s">
        <v>1213</v>
      </c>
      <c r="S30" s="2062">
        <f>スコア!M13</f>
        <v>4</v>
      </c>
      <c r="T30" s="1724">
        <f t="shared" si="13"/>
        <v>3</v>
      </c>
      <c r="U30" s="1724">
        <f t="shared" si="14"/>
        <v>3</v>
      </c>
      <c r="V30" s="2076" t="b">
        <v>0</v>
      </c>
      <c r="Y30" s="3179"/>
      <c r="Z30" s="1712"/>
      <c r="AA30" s="1713"/>
      <c r="AB30" s="3156"/>
      <c r="AC30" s="1725"/>
      <c r="AD30" s="1713"/>
    </row>
    <row r="31" spans="1:30" ht="27.6" customHeight="1">
      <c r="A31" s="1664"/>
      <c r="B31" s="3177"/>
      <c r="C31" s="3150"/>
      <c r="D31" s="3153"/>
      <c r="E31" s="1701" t="s">
        <v>1292</v>
      </c>
      <c r="F31" s="1820" t="s">
        <v>1215</v>
      </c>
      <c r="G31" s="1717" t="s">
        <v>1293</v>
      </c>
      <c r="H31" s="1704" t="str">
        <f t="shared" si="10"/>
        <v/>
      </c>
      <c r="I31" s="1705" t="str">
        <f t="shared" si="11"/>
        <v>●</v>
      </c>
      <c r="J31" s="1705" t="str">
        <f t="shared" si="12"/>
        <v/>
      </c>
      <c r="K31" s="1611"/>
      <c r="L31" s="1996"/>
      <c r="M31" s="1708">
        <f t="shared" si="4"/>
        <v>2</v>
      </c>
      <c r="Q31" s="1722" t="s">
        <v>1217</v>
      </c>
      <c r="R31" s="1723" t="s">
        <v>1218</v>
      </c>
      <c r="S31" s="2062">
        <f>スコア!M15</f>
        <v>3</v>
      </c>
      <c r="T31" s="1724">
        <f t="shared" si="13"/>
        <v>2</v>
      </c>
      <c r="U31" s="1724">
        <f t="shared" si="14"/>
        <v>2</v>
      </c>
      <c r="V31" s="2076" t="b">
        <v>0</v>
      </c>
      <c r="Y31" s="3179"/>
      <c r="Z31" s="1712"/>
      <c r="AA31" s="1713"/>
      <c r="AB31" s="3156"/>
      <c r="AC31" s="1725"/>
      <c r="AD31" s="1713"/>
    </row>
    <row r="32" spans="1:30" ht="27.6" customHeight="1">
      <c r="A32" s="1664"/>
      <c r="B32" s="3177"/>
      <c r="C32" s="3150"/>
      <c r="D32" s="3153"/>
      <c r="E32" s="1715" t="s">
        <v>1294</v>
      </c>
      <c r="F32" s="1716" t="s">
        <v>1220</v>
      </c>
      <c r="G32" s="1717" t="s">
        <v>1295</v>
      </c>
      <c r="H32" s="1728" t="str">
        <f t="shared" si="10"/>
        <v/>
      </c>
      <c r="I32" s="1729" t="str">
        <f t="shared" si="11"/>
        <v/>
      </c>
      <c r="J32" s="1729" t="str">
        <f t="shared" si="12"/>
        <v>●</v>
      </c>
      <c r="K32" s="1997"/>
      <c r="L32" s="2008"/>
      <c r="M32" s="1731">
        <f t="shared" si="4"/>
        <v>3</v>
      </c>
      <c r="Q32" s="1722" t="s">
        <v>1222</v>
      </c>
      <c r="R32" s="1723" t="s">
        <v>1223</v>
      </c>
      <c r="S32" s="2062">
        <f>スコア!M16</f>
        <v>5</v>
      </c>
      <c r="T32" s="1724">
        <f t="shared" si="13"/>
        <v>3</v>
      </c>
      <c r="U32" s="1724">
        <f t="shared" si="14"/>
        <v>3</v>
      </c>
      <c r="V32" s="2076" t="b">
        <v>0</v>
      </c>
      <c r="Y32" s="3179"/>
      <c r="Z32" s="1712"/>
      <c r="AA32" s="1713"/>
      <c r="AB32" s="3156"/>
      <c r="AC32" s="1725"/>
      <c r="AD32" s="1713"/>
    </row>
    <row r="33" spans="1:30" ht="27.6" customHeight="1">
      <c r="A33" s="1664"/>
      <c r="B33" s="3177"/>
      <c r="C33" s="3151"/>
      <c r="D33" s="3154"/>
      <c r="E33" s="1733" t="s">
        <v>1296</v>
      </c>
      <c r="F33" s="1734" t="s">
        <v>1297</v>
      </c>
      <c r="G33" s="1735" t="s">
        <v>1298</v>
      </c>
      <c r="H33" s="1736" t="str">
        <f t="shared" si="10"/>
        <v/>
      </c>
      <c r="I33" s="1737" t="str">
        <f t="shared" si="11"/>
        <v/>
      </c>
      <c r="J33" s="1737" t="str">
        <f t="shared" si="12"/>
        <v>●</v>
      </c>
      <c r="K33" s="1992"/>
      <c r="L33" s="2006"/>
      <c r="M33" s="1739">
        <f t="shared" si="4"/>
        <v>3</v>
      </c>
      <c r="Q33" s="1740" t="s">
        <v>1227</v>
      </c>
      <c r="R33" s="1741" t="s">
        <v>1228</v>
      </c>
      <c r="S33" s="2063">
        <f>スコア!M18</f>
        <v>5</v>
      </c>
      <c r="T33" s="1742">
        <f t="shared" si="13"/>
        <v>3</v>
      </c>
      <c r="U33" s="1742">
        <f t="shared" si="14"/>
        <v>3</v>
      </c>
      <c r="V33" s="2083" t="b">
        <v>0</v>
      </c>
      <c r="Y33" s="3179"/>
      <c r="Z33" s="1712"/>
      <c r="AA33" s="1713"/>
      <c r="AB33" s="3157"/>
      <c r="AC33" s="1753"/>
      <c r="AD33" s="1754"/>
    </row>
    <row r="34" spans="1:30" ht="99.75" customHeight="1">
      <c r="A34" s="1664"/>
      <c r="B34" s="1821"/>
      <c r="C34" s="3178" t="s">
        <v>1299</v>
      </c>
      <c r="D34" s="3170" t="s">
        <v>1300</v>
      </c>
      <c r="E34" s="1816" t="s">
        <v>1301</v>
      </c>
      <c r="F34" s="1817" t="s">
        <v>1302</v>
      </c>
      <c r="G34" s="1756" t="s">
        <v>1303</v>
      </c>
      <c r="H34" s="1625"/>
      <c r="I34" s="1626"/>
      <c r="J34" s="1626"/>
      <c r="K34" s="1627"/>
      <c r="L34" s="1628"/>
      <c r="M34" s="1822">
        <f t="shared" si="4"/>
        <v>1</v>
      </c>
      <c r="Q34" s="1823"/>
      <c r="S34" s="2064">
        <v>1</v>
      </c>
      <c r="T34" s="1824">
        <f>IF(S34=0,"",IF(S34=4,"",S34))</f>
        <v>1</v>
      </c>
      <c r="U34" s="1824">
        <f t="shared" si="14"/>
        <v>1</v>
      </c>
      <c r="V34" s="2084" t="b">
        <v>0</v>
      </c>
      <c r="Y34" s="1825"/>
      <c r="Z34" s="1712"/>
      <c r="AA34" s="1713"/>
      <c r="AB34" s="3165" t="s">
        <v>1299</v>
      </c>
      <c r="AC34" s="1714">
        <f>IFERROR(AVERAGE(M34:M35),"")</f>
        <v>1</v>
      </c>
      <c r="AD34" s="1699">
        <f>COUNTA(E34:E35)</f>
        <v>2</v>
      </c>
    </row>
    <row r="35" spans="1:30" ht="111" customHeight="1">
      <c r="A35" s="1664"/>
      <c r="B35" s="1826"/>
      <c r="C35" s="3151"/>
      <c r="D35" s="3154"/>
      <c r="E35" s="1733" t="s">
        <v>1304</v>
      </c>
      <c r="F35" s="1827" t="s">
        <v>1305</v>
      </c>
      <c r="G35" s="1735" t="s">
        <v>1306</v>
      </c>
      <c r="H35" s="1629"/>
      <c r="I35" s="1630"/>
      <c r="J35" s="1630"/>
      <c r="K35" s="1992"/>
      <c r="L35" s="1993"/>
      <c r="M35" s="1739">
        <f t="shared" si="4"/>
        <v>1</v>
      </c>
      <c r="Q35" s="1823"/>
      <c r="S35" s="2064">
        <v>1</v>
      </c>
      <c r="T35" s="1798">
        <f>IF(S35=0,"",IF(S35=4,"",S35))</f>
        <v>1</v>
      </c>
      <c r="U35" s="1798">
        <f t="shared" si="14"/>
        <v>1</v>
      </c>
      <c r="V35" s="2085" t="b">
        <v>0</v>
      </c>
      <c r="Y35" s="1825"/>
      <c r="Z35" s="1712"/>
      <c r="AA35" s="1713"/>
      <c r="AB35" s="3156"/>
      <c r="AC35" s="1725"/>
      <c r="AD35" s="1713"/>
    </row>
    <row r="36" spans="1:30" ht="27.6" customHeight="1">
      <c r="A36" s="1828"/>
      <c r="B36" s="3180" t="s">
        <v>1307</v>
      </c>
      <c r="C36" s="3168" t="s">
        <v>1308</v>
      </c>
      <c r="D36" s="3170" t="s">
        <v>1790</v>
      </c>
      <c r="E36" s="1816" t="s">
        <v>1309</v>
      </c>
      <c r="F36" s="1817" t="s">
        <v>1273</v>
      </c>
      <c r="G36" s="1756" t="s">
        <v>1832</v>
      </c>
      <c r="H36" s="1829" t="str">
        <f>IF(T36=1,"●","")</f>
        <v/>
      </c>
      <c r="I36" s="1830" t="str">
        <f>IF(T36=2,"●","")</f>
        <v/>
      </c>
      <c r="J36" s="1830" t="str">
        <f>IF(T36=3,"●","")</f>
        <v>●</v>
      </c>
      <c r="K36" s="1627"/>
      <c r="L36" s="1628"/>
      <c r="M36" s="1802">
        <f t="shared" si="4"/>
        <v>3</v>
      </c>
      <c r="Q36" s="1709" t="s">
        <v>1274</v>
      </c>
      <c r="R36" s="1710" t="s">
        <v>1275</v>
      </c>
      <c r="S36" s="2057">
        <f>スコア!M54</f>
        <v>4</v>
      </c>
      <c r="T36" s="1711">
        <f>IF(S36=0,"",IF(S36&lt;=S$7,1,IF(S36&lt;U$7,2,IF(S36&gt;=U$7,3,""))))</f>
        <v>3</v>
      </c>
      <c r="U36" s="1711">
        <f t="shared" si="14"/>
        <v>3</v>
      </c>
      <c r="V36" s="2075" t="b">
        <v>0</v>
      </c>
      <c r="Y36" s="3171" t="s">
        <v>1307</v>
      </c>
      <c r="Z36" s="1698">
        <f>AVERAGE(AC36:AC39)</f>
        <v>2.5</v>
      </c>
      <c r="AA36" s="1699">
        <f>COUNTA(AD36:AD39)</f>
        <v>2</v>
      </c>
      <c r="AB36" s="3165" t="s">
        <v>1308</v>
      </c>
      <c r="AC36" s="1714">
        <f>IFERROR(AVERAGE(M36),"")</f>
        <v>3</v>
      </c>
      <c r="AD36" s="1699">
        <f>COUNTA(E36:E37)</f>
        <v>1</v>
      </c>
    </row>
    <row r="37" spans="1:30" ht="16.2" hidden="1" customHeight="1">
      <c r="A37" s="1664"/>
      <c r="B37" s="3181"/>
      <c r="C37" s="3169"/>
      <c r="D37" s="3153"/>
      <c r="E37" s="1726"/>
      <c r="F37" s="1749"/>
      <c r="G37" s="1750"/>
      <c r="H37" s="1614"/>
      <c r="I37" s="1615"/>
      <c r="J37" s="1615"/>
      <c r="K37" s="1997"/>
      <c r="L37" s="1998"/>
      <c r="M37" s="1739"/>
      <c r="Q37" s="1751"/>
      <c r="R37" s="1752"/>
      <c r="S37" s="2056"/>
      <c r="T37" s="1742"/>
      <c r="U37" s="1742"/>
      <c r="V37" s="2079"/>
      <c r="Y37" s="3172"/>
      <c r="Z37" s="1712"/>
      <c r="AA37" s="1713"/>
      <c r="AB37" s="3157"/>
      <c r="AC37" s="1753"/>
      <c r="AD37" s="1754"/>
    </row>
    <row r="38" spans="1:30" ht="27.6" customHeight="1">
      <c r="A38" s="1664"/>
      <c r="B38" s="3181"/>
      <c r="C38" s="3168" t="s">
        <v>1310</v>
      </c>
      <c r="D38" s="3170" t="s">
        <v>1311</v>
      </c>
      <c r="E38" s="1846" t="s">
        <v>1312</v>
      </c>
      <c r="F38" s="1847" t="s">
        <v>1313</v>
      </c>
      <c r="G38" s="1831" t="s">
        <v>1314</v>
      </c>
      <c r="H38" s="1829" t="str">
        <f>IF(T38=1,"●","")</f>
        <v/>
      </c>
      <c r="I38" s="1830" t="str">
        <f>IF(T38=2,"●","")</f>
        <v/>
      </c>
      <c r="J38" s="1830" t="str">
        <f>IF(T38=3,"●","")</f>
        <v>●</v>
      </c>
      <c r="K38" s="1631"/>
      <c r="L38" s="2009"/>
      <c r="M38" s="1731">
        <f t="shared" si="4"/>
        <v>3</v>
      </c>
      <c r="Q38" s="1832" t="s">
        <v>1315</v>
      </c>
      <c r="R38" s="1833" t="s">
        <v>1316</v>
      </c>
      <c r="S38" s="2065">
        <f>スコア!M52</f>
        <v>5</v>
      </c>
      <c r="T38" s="1824">
        <f>IF(S38=0,"",IF(S38&lt;=S$7,1,IF(S38&lt;U$7,2,IF(S38&gt;=U$7,3,""))))</f>
        <v>3</v>
      </c>
      <c r="U38" s="1824">
        <f t="shared" si="14"/>
        <v>3</v>
      </c>
      <c r="V38" s="2075" t="b">
        <v>0</v>
      </c>
      <c r="Y38" s="1834"/>
      <c r="Z38" s="1712"/>
      <c r="AA38" s="1713"/>
      <c r="AB38" s="3174" t="s">
        <v>1310</v>
      </c>
      <c r="AC38" s="1714">
        <f>IFERROR(AVERAGE(M38:M39),"")</f>
        <v>2</v>
      </c>
      <c r="AD38" s="1699">
        <f>COUNTA(E38:E39)</f>
        <v>2</v>
      </c>
    </row>
    <row r="39" spans="1:30" ht="196.5" customHeight="1">
      <c r="A39" s="1664"/>
      <c r="B39" s="3182"/>
      <c r="C39" s="3173"/>
      <c r="D39" s="3154"/>
      <c r="E39" s="1733" t="s">
        <v>1317</v>
      </c>
      <c r="F39" s="1827" t="s">
        <v>1318</v>
      </c>
      <c r="G39" s="1735" t="s">
        <v>1319</v>
      </c>
      <c r="H39" s="1629"/>
      <c r="I39" s="1630"/>
      <c r="J39" s="1630"/>
      <c r="K39" s="1992"/>
      <c r="L39" s="2004"/>
      <c r="M39" s="1739">
        <f t="shared" si="4"/>
        <v>1</v>
      </c>
      <c r="Q39" s="1751"/>
      <c r="R39" s="1752"/>
      <c r="S39" s="2056">
        <v>1</v>
      </c>
      <c r="T39" s="1742">
        <f>IF(S39=0,"",IF(S39=4,"",S39))</f>
        <v>1</v>
      </c>
      <c r="U39" s="1742">
        <f t="shared" si="14"/>
        <v>1</v>
      </c>
      <c r="V39" s="2079" t="b">
        <v>0</v>
      </c>
      <c r="Y39" s="1835"/>
      <c r="Z39" s="1813"/>
      <c r="AA39" s="1754"/>
      <c r="AB39" s="3175"/>
      <c r="AC39" s="1753"/>
      <c r="AD39" s="1754"/>
    </row>
    <row r="40" spans="1:30" ht="20.100000000000001" customHeight="1">
      <c r="A40" s="1828"/>
      <c r="B40" s="3183" t="s">
        <v>1320</v>
      </c>
      <c r="C40" s="1836" t="s">
        <v>1321</v>
      </c>
      <c r="D40" s="1837"/>
      <c r="E40" s="1838"/>
      <c r="F40" s="1838"/>
      <c r="G40" s="1839"/>
      <c r="H40" s="1840"/>
      <c r="I40" s="1840"/>
      <c r="J40" s="1840"/>
      <c r="K40" s="1841"/>
      <c r="L40" s="1842"/>
      <c r="M40" s="1843"/>
      <c r="Q40" s="1786"/>
      <c r="S40" s="2060"/>
      <c r="T40" s="1787"/>
      <c r="U40" s="1787"/>
      <c r="V40" s="2082"/>
      <c r="Y40" s="3185" t="s">
        <v>1320</v>
      </c>
      <c r="Z40" s="1698">
        <f>AVERAGE(AC41:AC45)</f>
        <v>1.5</v>
      </c>
      <c r="AA40" s="1699">
        <f>COUNTA(AD40:AD45)</f>
        <v>3</v>
      </c>
      <c r="AB40" s="1783" t="str">
        <f>C40</f>
        <v>【水資源の保全】</v>
      </c>
      <c r="AC40" s="1844"/>
      <c r="AD40" s="1845"/>
    </row>
    <row r="41" spans="1:30" ht="27.6" customHeight="1">
      <c r="A41" s="1700"/>
      <c r="B41" s="3184"/>
      <c r="C41" s="3178" t="s">
        <v>1322</v>
      </c>
      <c r="D41" s="3170" t="s">
        <v>1323</v>
      </c>
      <c r="E41" s="1846" t="s">
        <v>1324</v>
      </c>
      <c r="F41" s="1847" t="s">
        <v>1325</v>
      </c>
      <c r="G41" s="1848" t="s">
        <v>1326</v>
      </c>
      <c r="H41" s="1849" t="str">
        <f t="shared" ref="H41:H42" si="15">IF(T41=1,"●","")</f>
        <v/>
      </c>
      <c r="I41" s="1850" t="str">
        <f t="shared" ref="I41:I42" si="16">IF(T41=2,"●","")</f>
        <v/>
      </c>
      <c r="J41" s="1850" t="str">
        <f t="shared" ref="J41:J42" si="17">IF(T41=3,"●","")</f>
        <v>●</v>
      </c>
      <c r="K41" s="1631"/>
      <c r="L41" s="1995"/>
      <c r="M41" s="1851">
        <f t="shared" si="4"/>
        <v>3</v>
      </c>
      <c r="Q41" s="1852" t="s">
        <v>1327</v>
      </c>
      <c r="R41" s="1853" t="s">
        <v>1328</v>
      </c>
      <c r="S41" s="2066">
        <f>スコア!M74</f>
        <v>4</v>
      </c>
      <c r="T41" s="1854">
        <f>IF(S41=0,"",IF(S41&lt;=S$7,1,IF(S41&lt;U$7,2,IF(S41&gt;=U$7,3,""))))</f>
        <v>3</v>
      </c>
      <c r="U41" s="1854">
        <f t="shared" ref="U41:U43" si="18">IF(T41="","",IF(T41=3,3,IF(V41=TRUE,T41+1,T41)))</f>
        <v>3</v>
      </c>
      <c r="V41" s="2078" t="b">
        <v>0</v>
      </c>
      <c r="Y41" s="3186"/>
      <c r="Z41" s="1712"/>
      <c r="AA41" s="1713"/>
      <c r="AB41" s="3165" t="s">
        <v>1322</v>
      </c>
      <c r="AC41" s="1714">
        <f>IFERROR(AVERAGE(M41:M42),"")</f>
        <v>2.5</v>
      </c>
      <c r="AD41" s="1699">
        <f>COUNTA(E41:E42)</f>
        <v>2</v>
      </c>
    </row>
    <row r="42" spans="1:30" ht="27.6" customHeight="1">
      <c r="A42" s="1664"/>
      <c r="B42" s="3184"/>
      <c r="C42" s="3151"/>
      <c r="D42" s="3154"/>
      <c r="E42" s="1733" t="s">
        <v>1329</v>
      </c>
      <c r="F42" s="1734" t="s">
        <v>1330</v>
      </c>
      <c r="G42" s="1735" t="s">
        <v>1331</v>
      </c>
      <c r="H42" s="1736" t="str">
        <f t="shared" si="15"/>
        <v/>
      </c>
      <c r="I42" s="1737" t="str">
        <f t="shared" si="16"/>
        <v>●</v>
      </c>
      <c r="J42" s="1737" t="str">
        <f t="shared" si="17"/>
        <v/>
      </c>
      <c r="K42" s="1992"/>
      <c r="L42" s="2006"/>
      <c r="M42" s="1739">
        <f t="shared" si="4"/>
        <v>2</v>
      </c>
      <c r="Q42" s="1796" t="s">
        <v>1332</v>
      </c>
      <c r="R42" s="1797" t="s">
        <v>1333</v>
      </c>
      <c r="S42" s="2061">
        <f>スコア!M75</f>
        <v>3</v>
      </c>
      <c r="T42" s="1798">
        <f>IF(S42=0,"",IF(S42&lt;=S$7,1,IF(S42&lt;U$7,2,IF(S42&gt;=U$7,3,""))))</f>
        <v>2</v>
      </c>
      <c r="U42" s="1798">
        <f t="shared" si="18"/>
        <v>2</v>
      </c>
      <c r="V42" s="2086" t="b">
        <v>0</v>
      </c>
      <c r="Y42" s="3186"/>
      <c r="Z42" s="1712"/>
      <c r="AA42" s="1713"/>
      <c r="AB42" s="3157"/>
      <c r="AC42" s="1753"/>
      <c r="AD42" s="1754"/>
    </row>
    <row r="43" spans="1:30" ht="124.5" customHeight="1">
      <c r="A43" s="1664"/>
      <c r="B43" s="1855"/>
      <c r="C43" s="1701" t="s">
        <v>1334</v>
      </c>
      <c r="D43" s="1856" t="s">
        <v>1335</v>
      </c>
      <c r="E43" s="1701" t="s">
        <v>1336</v>
      </c>
      <c r="F43" s="1857" t="s">
        <v>1337</v>
      </c>
      <c r="G43" s="1858" t="s">
        <v>1338</v>
      </c>
      <c r="H43" s="2012"/>
      <c r="I43" s="2013"/>
      <c r="J43" s="1630"/>
      <c r="K43" s="1611"/>
      <c r="L43" s="2001"/>
      <c r="M43" s="2024">
        <f>U43</f>
        <v>1</v>
      </c>
      <c r="Q43" s="1859"/>
      <c r="R43" s="1860"/>
      <c r="S43" s="2067">
        <v>1</v>
      </c>
      <c r="T43" s="1778">
        <f>IF(S43=0,"",IF(S43=4,"",S43))</f>
        <v>1</v>
      </c>
      <c r="U43" s="1778">
        <f t="shared" si="18"/>
        <v>1</v>
      </c>
      <c r="V43" s="2087" t="b">
        <v>0</v>
      </c>
      <c r="Y43" s="1861"/>
      <c r="Z43" s="1712"/>
      <c r="AA43" s="1713"/>
      <c r="AB43" s="1814" t="s">
        <v>1334</v>
      </c>
      <c r="AC43" s="1714">
        <f>IFERROR(AVERAGE(M43),"")</f>
        <v>1</v>
      </c>
      <c r="AD43" s="1815">
        <f>COUNTA(E43)</f>
        <v>1</v>
      </c>
    </row>
    <row r="44" spans="1:30" ht="20.100000000000001" customHeight="1">
      <c r="A44" s="1664"/>
      <c r="B44" s="1855"/>
      <c r="C44" s="1862" t="s">
        <v>1339</v>
      </c>
      <c r="D44" s="1863"/>
      <c r="E44" s="1864"/>
      <c r="F44" s="1692"/>
      <c r="G44" s="1693"/>
      <c r="H44" s="1694"/>
      <c r="I44" s="1694"/>
      <c r="J44" s="1694"/>
      <c r="K44" s="1695"/>
      <c r="L44" s="1696"/>
      <c r="M44" s="1697"/>
      <c r="Q44" s="1823"/>
      <c r="S44" s="2060"/>
      <c r="T44" s="1787"/>
      <c r="U44" s="1787"/>
      <c r="V44" s="2085"/>
      <c r="Y44" s="1861"/>
      <c r="Z44" s="1712"/>
      <c r="AA44" s="1713"/>
      <c r="AB44" s="1783" t="str">
        <f>C44</f>
        <v>【生活用水の衛生管理】</v>
      </c>
      <c r="AC44" s="1788"/>
      <c r="AD44" s="1789"/>
    </row>
    <row r="45" spans="1:30" ht="163.5" customHeight="1">
      <c r="A45" s="1664"/>
      <c r="B45" s="1865"/>
      <c r="C45" s="1733" t="s">
        <v>1340</v>
      </c>
      <c r="D45" s="1866" t="s">
        <v>1341</v>
      </c>
      <c r="E45" s="1733" t="s">
        <v>1342</v>
      </c>
      <c r="F45" s="1827" t="s">
        <v>1241</v>
      </c>
      <c r="G45" s="1735" t="s">
        <v>1343</v>
      </c>
      <c r="H45" s="2012"/>
      <c r="I45" s="2013"/>
      <c r="J45" s="1630"/>
      <c r="K45" s="1992"/>
      <c r="L45" s="1993"/>
      <c r="M45" s="2024">
        <f t="shared" ref="M45:M61" si="19">U45</f>
        <v>1</v>
      </c>
      <c r="Q45" s="1859"/>
      <c r="R45" s="1860"/>
      <c r="S45" s="2067">
        <v>1</v>
      </c>
      <c r="T45" s="1778">
        <f>IF(S45=0,"",IF(S45=4,"",S45))</f>
        <v>1</v>
      </c>
      <c r="U45" s="1778">
        <f t="shared" ref="U45:U61" si="20">IF(T45="","",IF(T45=3,3,IF(V45=TRUE,T45+1,T45)))</f>
        <v>1</v>
      </c>
      <c r="V45" s="2087" t="b">
        <v>0</v>
      </c>
      <c r="Y45" s="1867"/>
      <c r="Z45" s="1813"/>
      <c r="AA45" s="1754"/>
      <c r="AB45" s="1814" t="s">
        <v>1340</v>
      </c>
      <c r="AC45" s="1714">
        <f>IFERROR(AVERAGE(M45),"")</f>
        <v>1</v>
      </c>
      <c r="AD45" s="1815">
        <f>COUNTA(E45)</f>
        <v>1</v>
      </c>
    </row>
    <row r="46" spans="1:30" ht="32.25" customHeight="1">
      <c r="A46" s="1828"/>
      <c r="B46" s="3187" t="s">
        <v>1344</v>
      </c>
      <c r="C46" s="3178" t="s">
        <v>1345</v>
      </c>
      <c r="D46" s="3193" t="s">
        <v>1346</v>
      </c>
      <c r="E46" s="1755" t="s">
        <v>1347</v>
      </c>
      <c r="F46" s="1817" t="s">
        <v>1791</v>
      </c>
      <c r="G46" s="1756" t="s">
        <v>1834</v>
      </c>
      <c r="H46" s="1757" t="str">
        <f>IF(T46=1,"●","")</f>
        <v/>
      </c>
      <c r="I46" s="1910" t="str">
        <f>IF(T46=2,"●","")</f>
        <v/>
      </c>
      <c r="J46" s="1910" t="str">
        <f>IF(T46=3,"●","")</f>
        <v>●</v>
      </c>
      <c r="K46" s="1627"/>
      <c r="L46" s="1628"/>
      <c r="M46" s="1802">
        <f t="shared" si="19"/>
        <v>3</v>
      </c>
      <c r="Q46" s="1709" t="s">
        <v>1348</v>
      </c>
      <c r="R46" s="1710" t="s">
        <v>581</v>
      </c>
      <c r="S46" s="2057">
        <f>スコア!M70</f>
        <v>5</v>
      </c>
      <c r="T46" s="2459">
        <f>IF(S46=0,"",IF(S46&lt;3,1,IF(S46&lt;4,2,IF(S46&gt;=4,3,""))))</f>
        <v>3</v>
      </c>
      <c r="U46" s="1711">
        <f t="shared" si="20"/>
        <v>3</v>
      </c>
      <c r="V46" s="2090" t="b">
        <v>0</v>
      </c>
      <c r="Y46" s="3190" t="s">
        <v>1344</v>
      </c>
      <c r="Z46" s="1698">
        <f>AVERAGE(AC46:AC49)</f>
        <v>1.5</v>
      </c>
      <c r="AA46" s="1699">
        <f>COUNTA(AD46:AD49)</f>
        <v>2</v>
      </c>
      <c r="AB46" s="2404" t="s">
        <v>1345</v>
      </c>
      <c r="AC46" s="1714">
        <f>IFERROR(AVERAGE(M46:M47),"")</f>
        <v>2</v>
      </c>
      <c r="AD46" s="2403">
        <f>COUNTA(E46:E47)</f>
        <v>2</v>
      </c>
    </row>
    <row r="47" spans="1:30" ht="30" customHeight="1">
      <c r="A47" s="1828"/>
      <c r="B47" s="3188"/>
      <c r="C47" s="3151"/>
      <c r="D47" s="3194"/>
      <c r="E47" s="1920" t="s">
        <v>1793</v>
      </c>
      <c r="F47" s="1820" t="s">
        <v>1792</v>
      </c>
      <c r="G47" s="1858" t="s">
        <v>1850</v>
      </c>
      <c r="H47" s="1922" t="str">
        <f>IF(T47=1,"●","")</f>
        <v>●</v>
      </c>
      <c r="I47" s="1923" t="str">
        <f>IF(T47=2,"●","")</f>
        <v/>
      </c>
      <c r="J47" s="1923" t="str">
        <f>IF(T47=3,"●","")</f>
        <v/>
      </c>
      <c r="K47" s="1611"/>
      <c r="L47" s="2001"/>
      <c r="M47" s="2450">
        <f>U47</f>
        <v>1</v>
      </c>
      <c r="Q47" s="1709" t="s">
        <v>1848</v>
      </c>
      <c r="R47" s="1710" t="s">
        <v>1849</v>
      </c>
      <c r="S47" s="2057">
        <f>スコア!M71</f>
        <v>3</v>
      </c>
      <c r="T47" s="2459">
        <f>IF(S47=0,"",IF(S47&lt;4,1,IF(S47&lt;5,2,IF(S47=5,3,""))))</f>
        <v>1</v>
      </c>
      <c r="U47" s="1711">
        <f t="shared" ref="U47" si="21">IF(T47="","",IF(T47=3,3,IF(V47=TRUE,T47+1,T47)))</f>
        <v>1</v>
      </c>
      <c r="V47" s="2090" t="b">
        <v>0</v>
      </c>
      <c r="Y47" s="3191"/>
      <c r="Z47" s="1712"/>
      <c r="AA47" s="1713"/>
      <c r="AB47" s="1924"/>
      <c r="AC47" s="1725"/>
      <c r="AD47" s="1713"/>
    </row>
    <row r="48" spans="1:30" ht="153.75" customHeight="1">
      <c r="A48" s="1664"/>
      <c r="B48" s="3188"/>
      <c r="C48" s="3178" t="s">
        <v>1349</v>
      </c>
      <c r="D48" s="3170" t="s">
        <v>1350</v>
      </c>
      <c r="E48" s="1846" t="s">
        <v>1351</v>
      </c>
      <c r="F48" s="1868" t="s">
        <v>1352</v>
      </c>
      <c r="G48" s="1848" t="s">
        <v>1794</v>
      </c>
      <c r="H48" s="2447"/>
      <c r="I48" s="2448"/>
      <c r="J48" s="2449"/>
      <c r="K48" s="1631"/>
      <c r="L48" s="1632"/>
      <c r="M48" s="2026">
        <f t="shared" si="19"/>
        <v>1</v>
      </c>
      <c r="Q48" s="1869"/>
      <c r="R48" s="1870"/>
      <c r="S48" s="2068">
        <v>1</v>
      </c>
      <c r="T48" s="1711">
        <f>IF(S48=0,"",IF(S48=4,"",S48))</f>
        <v>1</v>
      </c>
      <c r="U48" s="1711">
        <f t="shared" si="20"/>
        <v>1</v>
      </c>
      <c r="V48" s="2088" t="b">
        <v>0</v>
      </c>
      <c r="Y48" s="3191"/>
      <c r="Z48" s="1712"/>
      <c r="AA48" s="1713"/>
      <c r="AB48" s="3165" t="s">
        <v>1349</v>
      </c>
      <c r="AC48" s="1714">
        <f>IFERROR(AVERAGE(M48:M49),"")</f>
        <v>1</v>
      </c>
      <c r="AD48" s="1699">
        <f>COUNTA(E48:E49)</f>
        <v>2</v>
      </c>
    </row>
    <row r="49" spans="1:30" ht="118.5" customHeight="1">
      <c r="A49" s="1664"/>
      <c r="B49" s="3189"/>
      <c r="C49" s="3151"/>
      <c r="D49" s="3154"/>
      <c r="E49" s="1733" t="s">
        <v>1353</v>
      </c>
      <c r="F49" s="1827" t="s">
        <v>1354</v>
      </c>
      <c r="G49" s="1735" t="s">
        <v>1355</v>
      </c>
      <c r="H49" s="2012"/>
      <c r="I49" s="2014"/>
      <c r="J49" s="1630"/>
      <c r="K49" s="1992"/>
      <c r="L49" s="1993"/>
      <c r="M49" s="2024">
        <f t="shared" si="19"/>
        <v>1</v>
      </c>
      <c r="Q49" s="1871"/>
      <c r="R49" s="1872"/>
      <c r="S49" s="2069">
        <v>1</v>
      </c>
      <c r="T49" s="1742">
        <f>IF(S49=0,"",IF(S49=4,"",S49))</f>
        <v>1</v>
      </c>
      <c r="U49" s="1742">
        <f t="shared" si="20"/>
        <v>1</v>
      </c>
      <c r="V49" s="2089" t="b">
        <v>0</v>
      </c>
      <c r="Y49" s="3192"/>
      <c r="Z49" s="1813"/>
      <c r="AA49" s="1754"/>
      <c r="AB49" s="3157"/>
      <c r="AC49" s="1753"/>
      <c r="AD49" s="1754"/>
    </row>
    <row r="50" spans="1:30" ht="27.6" customHeight="1">
      <c r="A50" s="1828"/>
      <c r="B50" s="3199" t="s">
        <v>1356</v>
      </c>
      <c r="C50" s="3149" t="s">
        <v>1357</v>
      </c>
      <c r="D50" s="3152" t="s">
        <v>1358</v>
      </c>
      <c r="E50" s="1726" t="s">
        <v>1359</v>
      </c>
      <c r="F50" s="1716" t="s">
        <v>1205</v>
      </c>
      <c r="G50" s="1717" t="s">
        <v>1360</v>
      </c>
      <c r="H50" s="1718" t="str">
        <f t="shared" ref="H50:H54" si="22">IF(T50=1,"●","")</f>
        <v/>
      </c>
      <c r="I50" s="1873" t="str">
        <f t="shared" ref="I50:I54" si="23">IF(T50=2,"●","")</f>
        <v/>
      </c>
      <c r="J50" s="1873" t="str">
        <f t="shared" ref="J50:J54" si="24">IF(T50=3,"●","")</f>
        <v>●</v>
      </c>
      <c r="K50" s="1612"/>
      <c r="L50" s="1991"/>
      <c r="M50" s="1721">
        <f t="shared" si="19"/>
        <v>3</v>
      </c>
      <c r="Q50" s="1709" t="s">
        <v>1207</v>
      </c>
      <c r="R50" s="1710" t="s">
        <v>1208</v>
      </c>
      <c r="S50" s="2057">
        <f>スコア!M12</f>
        <v>5</v>
      </c>
      <c r="T50" s="1711">
        <f>IF(S50=0,"",IF(S50&lt;=S$7,1,IF(S50&lt;U$7,2,IF(S50&gt;=U$7,3,""))))</f>
        <v>3</v>
      </c>
      <c r="U50" s="1711">
        <f t="shared" si="20"/>
        <v>3</v>
      </c>
      <c r="V50" s="2090" t="b">
        <v>0</v>
      </c>
      <c r="Y50" s="3201" t="s">
        <v>1356</v>
      </c>
      <c r="Z50" s="1698">
        <f>AVERAGE(AC50:AC56)</f>
        <v>1.9</v>
      </c>
      <c r="AA50" s="1699">
        <f>COUNTA(AD50:AD56)</f>
        <v>2</v>
      </c>
      <c r="AB50" s="3165" t="s">
        <v>1357</v>
      </c>
      <c r="AC50" s="1714">
        <f>IFERROR(AVERAGE(M50:M54),"")</f>
        <v>2.8</v>
      </c>
      <c r="AD50" s="1699">
        <f>COUNTA(E50:E54)</f>
        <v>5</v>
      </c>
    </row>
    <row r="51" spans="1:30" ht="27.6" customHeight="1">
      <c r="A51" s="1828"/>
      <c r="B51" s="3200"/>
      <c r="C51" s="3150"/>
      <c r="D51" s="3153"/>
      <c r="E51" s="1874" t="s">
        <v>1361</v>
      </c>
      <c r="F51" s="1702" t="s">
        <v>1210</v>
      </c>
      <c r="G51" s="1717" t="s">
        <v>1362</v>
      </c>
      <c r="H51" s="1744" t="str">
        <f t="shared" si="22"/>
        <v/>
      </c>
      <c r="I51" s="1875" t="str">
        <f t="shared" si="23"/>
        <v/>
      </c>
      <c r="J51" s="1875" t="str">
        <f t="shared" si="24"/>
        <v>●</v>
      </c>
      <c r="K51" s="1613"/>
      <c r="L51" s="1990"/>
      <c r="M51" s="1747">
        <f t="shared" si="19"/>
        <v>3</v>
      </c>
      <c r="Q51" s="1722" t="s">
        <v>1212</v>
      </c>
      <c r="R51" s="1723" t="s">
        <v>1213</v>
      </c>
      <c r="S51" s="2062">
        <f>スコア!M13</f>
        <v>4</v>
      </c>
      <c r="T51" s="1724">
        <f>IF(S51=0,"",IF(S51&lt;=S$7,1,IF(S51&lt;U$7,2,IF(S51&gt;=U$7,3,""))))</f>
        <v>3</v>
      </c>
      <c r="U51" s="1724">
        <f t="shared" si="20"/>
        <v>3</v>
      </c>
      <c r="V51" s="2091" t="b">
        <v>0</v>
      </c>
      <c r="Y51" s="3202"/>
      <c r="Z51" s="1712"/>
      <c r="AA51" s="1713"/>
      <c r="AB51" s="3156"/>
      <c r="AC51" s="1725"/>
      <c r="AD51" s="1713"/>
    </row>
    <row r="52" spans="1:30" ht="27.6" customHeight="1">
      <c r="A52" s="1664"/>
      <c r="B52" s="1876"/>
      <c r="C52" s="3150"/>
      <c r="D52" s="3153"/>
      <c r="E52" s="1715" t="s">
        <v>1363</v>
      </c>
      <c r="F52" s="1716" t="s">
        <v>1215</v>
      </c>
      <c r="G52" s="1717" t="s">
        <v>1364</v>
      </c>
      <c r="H52" s="1718" t="str">
        <f t="shared" si="22"/>
        <v/>
      </c>
      <c r="I52" s="1873" t="str">
        <f t="shared" si="23"/>
        <v>●</v>
      </c>
      <c r="J52" s="1873" t="str">
        <f t="shared" si="24"/>
        <v/>
      </c>
      <c r="K52" s="1612"/>
      <c r="L52" s="1991"/>
      <c r="M52" s="1721">
        <f t="shared" si="19"/>
        <v>2</v>
      </c>
      <c r="Q52" s="1722" t="s">
        <v>1217</v>
      </c>
      <c r="R52" s="1723" t="s">
        <v>1218</v>
      </c>
      <c r="S52" s="2062">
        <f>スコア!M15</f>
        <v>3</v>
      </c>
      <c r="T52" s="1724">
        <f>IF(S52=0,"",IF(S52&lt;=S$7,1,IF(S52&lt;U$7,2,IF(S52&gt;=U$7,3,""))))</f>
        <v>2</v>
      </c>
      <c r="U52" s="1724">
        <f t="shared" si="20"/>
        <v>2</v>
      </c>
      <c r="V52" s="2091" t="b">
        <v>0</v>
      </c>
      <c r="Y52" s="1877"/>
      <c r="Z52" s="1712"/>
      <c r="AA52" s="1713"/>
      <c r="AB52" s="3156"/>
      <c r="AC52" s="1725"/>
      <c r="AD52" s="1713"/>
    </row>
    <row r="53" spans="1:30" ht="27.6" customHeight="1">
      <c r="A53" s="1664"/>
      <c r="B53" s="1876"/>
      <c r="C53" s="3150"/>
      <c r="D53" s="3153"/>
      <c r="E53" s="1701" t="s">
        <v>1365</v>
      </c>
      <c r="F53" s="1820" t="s">
        <v>1366</v>
      </c>
      <c r="G53" s="1717" t="s">
        <v>1367</v>
      </c>
      <c r="H53" s="1704" t="str">
        <f t="shared" si="22"/>
        <v/>
      </c>
      <c r="I53" s="1878" t="str">
        <f t="shared" si="23"/>
        <v/>
      </c>
      <c r="J53" s="1878" t="str">
        <f t="shared" si="24"/>
        <v>●</v>
      </c>
      <c r="K53" s="1611"/>
      <c r="L53" s="2001"/>
      <c r="M53" s="1708">
        <f t="shared" si="19"/>
        <v>3</v>
      </c>
      <c r="Q53" s="1722" t="s">
        <v>1222</v>
      </c>
      <c r="R53" s="1723" t="s">
        <v>1223</v>
      </c>
      <c r="S53" s="2062">
        <f>スコア!M16</f>
        <v>5</v>
      </c>
      <c r="T53" s="1724">
        <f>IF(S53=0,"",IF(S53&lt;=S$7,1,IF(S53&lt;U$7,2,IF(S53&gt;=U$7,3,""))))</f>
        <v>3</v>
      </c>
      <c r="U53" s="1724">
        <f t="shared" si="20"/>
        <v>3</v>
      </c>
      <c r="V53" s="2091" t="b">
        <v>0</v>
      </c>
      <c r="Y53" s="1877"/>
      <c r="Z53" s="1712"/>
      <c r="AA53" s="1713"/>
      <c r="AB53" s="3156"/>
      <c r="AC53" s="1725"/>
      <c r="AD53" s="1713"/>
    </row>
    <row r="54" spans="1:30" ht="27.6" customHeight="1">
      <c r="A54" s="1664"/>
      <c r="B54" s="1876"/>
      <c r="C54" s="3150"/>
      <c r="D54" s="3153"/>
      <c r="E54" s="1726" t="s">
        <v>1368</v>
      </c>
      <c r="F54" s="1727" t="s">
        <v>1297</v>
      </c>
      <c r="G54" s="1750" t="s">
        <v>1369</v>
      </c>
      <c r="H54" s="1728" t="str">
        <f t="shared" si="22"/>
        <v/>
      </c>
      <c r="I54" s="1879" t="str">
        <f t="shared" si="23"/>
        <v/>
      </c>
      <c r="J54" s="1879" t="str">
        <f t="shared" si="24"/>
        <v>●</v>
      </c>
      <c r="K54" s="1997"/>
      <c r="L54" s="1998"/>
      <c r="M54" s="1731">
        <f t="shared" si="19"/>
        <v>3</v>
      </c>
      <c r="Q54" s="1740" t="s">
        <v>1227</v>
      </c>
      <c r="R54" s="1741" t="s">
        <v>1228</v>
      </c>
      <c r="S54" s="2063">
        <f>スコア!M18</f>
        <v>5</v>
      </c>
      <c r="T54" s="1742">
        <f>IF(S54=0,"",IF(S54&lt;=S$7,1,IF(S54&lt;U$7,2,IF(S54&gt;=U$7,3,""))))</f>
        <v>3</v>
      </c>
      <c r="U54" s="1742">
        <f t="shared" si="20"/>
        <v>3</v>
      </c>
      <c r="V54" s="2092" t="b">
        <v>0</v>
      </c>
      <c r="Y54" s="1877"/>
      <c r="Z54" s="1712"/>
      <c r="AA54" s="1713"/>
      <c r="AB54" s="3157"/>
      <c r="AC54" s="1753"/>
      <c r="AD54" s="1754"/>
    </row>
    <row r="55" spans="1:30" ht="124.5" customHeight="1">
      <c r="A55" s="1664"/>
      <c r="B55" s="1876"/>
      <c r="C55" s="3178" t="s">
        <v>1370</v>
      </c>
      <c r="D55" s="3170" t="s">
        <v>1371</v>
      </c>
      <c r="E55" s="1846" t="s">
        <v>1372</v>
      </c>
      <c r="F55" s="1868" t="s">
        <v>1373</v>
      </c>
      <c r="G55" s="1848" t="s">
        <v>1374</v>
      </c>
      <c r="H55" s="2021"/>
      <c r="I55" s="1626"/>
      <c r="J55" s="2022"/>
      <c r="K55" s="1631"/>
      <c r="L55" s="1632"/>
      <c r="M55" s="2026">
        <f t="shared" si="19"/>
        <v>1</v>
      </c>
      <c r="Q55" s="1869"/>
      <c r="R55" s="1870"/>
      <c r="S55" s="2068">
        <v>1</v>
      </c>
      <c r="T55" s="1711">
        <f t="shared" ref="T55:T61" si="25">IF(S55=0,"",IF(S55=4,"",S55))</f>
        <v>1</v>
      </c>
      <c r="U55" s="1711">
        <f t="shared" si="20"/>
        <v>1</v>
      </c>
      <c r="V55" s="2088" t="b">
        <v>0</v>
      </c>
      <c r="Y55" s="1877"/>
      <c r="Z55" s="1712"/>
      <c r="AA55" s="1713"/>
      <c r="AB55" s="3165" t="s">
        <v>1370</v>
      </c>
      <c r="AC55" s="1714">
        <f>IFERROR(AVERAGE(M55:M56),"")</f>
        <v>1</v>
      </c>
      <c r="AD55" s="1699">
        <f>COUNTA(E55:E56)</f>
        <v>2</v>
      </c>
    </row>
    <row r="56" spans="1:30" ht="111" customHeight="1">
      <c r="A56" s="1664"/>
      <c r="B56" s="1880"/>
      <c r="C56" s="3151"/>
      <c r="D56" s="3154"/>
      <c r="E56" s="1733" t="s">
        <v>1375</v>
      </c>
      <c r="F56" s="1827" t="s">
        <v>1305</v>
      </c>
      <c r="G56" s="1735" t="s">
        <v>1376</v>
      </c>
      <c r="H56" s="2012"/>
      <c r="I56" s="2014"/>
      <c r="J56" s="1630"/>
      <c r="K56" s="1992"/>
      <c r="L56" s="1993"/>
      <c r="M56" s="2024">
        <f t="shared" si="19"/>
        <v>1</v>
      </c>
      <c r="Q56" s="1871"/>
      <c r="R56" s="1872"/>
      <c r="S56" s="2069">
        <v>1</v>
      </c>
      <c r="T56" s="1742">
        <f t="shared" si="25"/>
        <v>1</v>
      </c>
      <c r="U56" s="1742">
        <f t="shared" si="20"/>
        <v>1</v>
      </c>
      <c r="V56" s="2089" t="b">
        <v>0</v>
      </c>
      <c r="Y56" s="1881"/>
      <c r="Z56" s="1813"/>
      <c r="AA56" s="1754"/>
      <c r="AB56" s="3157"/>
      <c r="AC56" s="1753"/>
      <c r="AD56" s="1754"/>
    </row>
    <row r="57" spans="1:30" ht="75.75" customHeight="1">
      <c r="A57" s="1828"/>
      <c r="B57" s="1882" t="s">
        <v>1377</v>
      </c>
      <c r="C57" s="3178" t="s">
        <v>1378</v>
      </c>
      <c r="D57" s="3193" t="s">
        <v>1379</v>
      </c>
      <c r="E57" s="1726" t="s">
        <v>1380</v>
      </c>
      <c r="F57" s="1800" t="s">
        <v>1381</v>
      </c>
      <c r="G57" s="1818" t="s">
        <v>1795</v>
      </c>
      <c r="H57" s="2015"/>
      <c r="I57" s="1615"/>
      <c r="J57" s="1634"/>
      <c r="K57" s="1997"/>
      <c r="L57" s="1998"/>
      <c r="M57" s="2025">
        <f t="shared" si="19"/>
        <v>1</v>
      </c>
      <c r="Q57" s="1869"/>
      <c r="R57" s="1870"/>
      <c r="S57" s="2068">
        <v>1</v>
      </c>
      <c r="T57" s="1711">
        <f t="shared" si="25"/>
        <v>1</v>
      </c>
      <c r="U57" s="1711">
        <f t="shared" si="20"/>
        <v>1</v>
      </c>
      <c r="V57" s="2088" t="b">
        <v>0</v>
      </c>
      <c r="Y57" s="1883" t="s">
        <v>1377</v>
      </c>
      <c r="Z57" s="1698">
        <f>AVERAGE(AC57:AC61)</f>
        <v>1</v>
      </c>
      <c r="AA57" s="1699">
        <f>COUNTA(AD57:AD61)</f>
        <v>2</v>
      </c>
      <c r="AB57" s="3165" t="s">
        <v>1378</v>
      </c>
      <c r="AC57" s="1714">
        <f>IFERROR(AVERAGE(M57:M60),"")</f>
        <v>1</v>
      </c>
      <c r="AD57" s="1699">
        <f>COUNTA(E57:E60)</f>
        <v>4</v>
      </c>
    </row>
    <row r="58" spans="1:30" ht="129" customHeight="1">
      <c r="A58" s="1664"/>
      <c r="B58" s="1884"/>
      <c r="C58" s="3150"/>
      <c r="D58" s="3203"/>
      <c r="E58" s="1715" t="s">
        <v>1382</v>
      </c>
      <c r="F58" s="1716" t="s">
        <v>1383</v>
      </c>
      <c r="G58" s="1858" t="s">
        <v>1796</v>
      </c>
      <c r="H58" s="2019"/>
      <c r="I58" s="2020"/>
      <c r="J58" s="1633"/>
      <c r="K58" s="1612"/>
      <c r="L58" s="1991"/>
      <c r="M58" s="2027">
        <f t="shared" si="19"/>
        <v>1</v>
      </c>
      <c r="Q58" s="1885"/>
      <c r="R58" s="1886"/>
      <c r="S58" s="2070">
        <v>1</v>
      </c>
      <c r="T58" s="1724">
        <f t="shared" si="25"/>
        <v>1</v>
      </c>
      <c r="U58" s="1724">
        <f t="shared" si="20"/>
        <v>1</v>
      </c>
      <c r="V58" s="2093" t="b">
        <v>0</v>
      </c>
      <c r="Y58" s="1887"/>
      <c r="Z58" s="1712"/>
      <c r="AA58" s="1713"/>
      <c r="AB58" s="3156"/>
      <c r="AC58" s="1725"/>
      <c r="AD58" s="1713"/>
    </row>
    <row r="59" spans="1:30" ht="72.599999999999994" customHeight="1">
      <c r="A59" s="1664"/>
      <c r="B59" s="1888"/>
      <c r="C59" s="3150"/>
      <c r="D59" s="3203"/>
      <c r="E59" s="1726" t="s">
        <v>1384</v>
      </c>
      <c r="F59" s="1727" t="s">
        <v>1385</v>
      </c>
      <c r="G59" s="1750" t="s">
        <v>1386</v>
      </c>
      <c r="H59" s="2019"/>
      <c r="I59" s="2020"/>
      <c r="J59" s="1633"/>
      <c r="K59" s="1612"/>
      <c r="L59" s="1991"/>
      <c r="M59" s="2027">
        <f t="shared" si="19"/>
        <v>1</v>
      </c>
      <c r="Q59" s="1885"/>
      <c r="R59" s="1886"/>
      <c r="S59" s="2070">
        <v>1</v>
      </c>
      <c r="T59" s="1724">
        <f t="shared" si="25"/>
        <v>1</v>
      </c>
      <c r="U59" s="1724">
        <f t="shared" si="20"/>
        <v>1</v>
      </c>
      <c r="V59" s="2093" t="b">
        <v>0</v>
      </c>
      <c r="Y59" s="1889"/>
      <c r="Z59" s="1712"/>
      <c r="AA59" s="1713"/>
      <c r="AB59" s="3156"/>
      <c r="AC59" s="1725"/>
      <c r="AD59" s="1713"/>
    </row>
    <row r="60" spans="1:30" ht="245.4" customHeight="1">
      <c r="A60" s="1664"/>
      <c r="B60" s="1884"/>
      <c r="C60" s="3151"/>
      <c r="D60" s="3194"/>
      <c r="E60" s="1890" t="s">
        <v>1387</v>
      </c>
      <c r="F60" s="1827" t="s">
        <v>1388</v>
      </c>
      <c r="G60" s="1735" t="s">
        <v>1835</v>
      </c>
      <c r="H60" s="2016"/>
      <c r="I60" s="2017"/>
      <c r="J60" s="2018"/>
      <c r="K60" s="1999"/>
      <c r="L60" s="2000"/>
      <c r="M60" s="2028">
        <f t="shared" si="19"/>
        <v>1</v>
      </c>
      <c r="Q60" s="1871"/>
      <c r="R60" s="1872"/>
      <c r="S60" s="2069">
        <v>1</v>
      </c>
      <c r="T60" s="1742">
        <f t="shared" si="25"/>
        <v>1</v>
      </c>
      <c r="U60" s="1742">
        <f t="shared" si="20"/>
        <v>1</v>
      </c>
      <c r="V60" s="2089" t="b">
        <v>0</v>
      </c>
      <c r="Y60" s="1887"/>
      <c r="Z60" s="1712"/>
      <c r="AA60" s="1713"/>
      <c r="AB60" s="1891"/>
      <c r="AC60" s="1753"/>
      <c r="AD60" s="1754"/>
    </row>
    <row r="61" spans="1:30" ht="140.4" customHeight="1">
      <c r="A61" s="1664"/>
      <c r="B61" s="1892"/>
      <c r="C61" s="1770" t="s">
        <v>1389</v>
      </c>
      <c r="D61" s="1769" t="s">
        <v>1390</v>
      </c>
      <c r="E61" s="1770" t="s">
        <v>1391</v>
      </c>
      <c r="F61" s="1771" t="s">
        <v>1392</v>
      </c>
      <c r="G61" s="1772" t="s">
        <v>1393</v>
      </c>
      <c r="H61" s="2012"/>
      <c r="I61" s="2014"/>
      <c r="J61" s="1630"/>
      <c r="K61" s="1988"/>
      <c r="L61" s="1994"/>
      <c r="M61" s="2024">
        <f t="shared" si="19"/>
        <v>1</v>
      </c>
      <c r="Q61" s="1859"/>
      <c r="R61" s="1860"/>
      <c r="S61" s="2067">
        <v>1</v>
      </c>
      <c r="T61" s="1778">
        <f t="shared" si="25"/>
        <v>1</v>
      </c>
      <c r="U61" s="1778">
        <f t="shared" si="20"/>
        <v>1</v>
      </c>
      <c r="V61" s="2087" t="b">
        <v>0</v>
      </c>
      <c r="Y61" s="1893"/>
      <c r="Z61" s="1813"/>
      <c r="AA61" s="1754"/>
      <c r="AB61" s="1814" t="s">
        <v>1389</v>
      </c>
      <c r="AC61" s="1714">
        <f>IFERROR(AVERAGE(M61),"")</f>
        <v>1</v>
      </c>
      <c r="AD61" s="1815">
        <f>COUNTA(C61)</f>
        <v>1</v>
      </c>
    </row>
    <row r="62" spans="1:30" ht="90.75" customHeight="1">
      <c r="A62" s="1664"/>
      <c r="B62" s="1894" t="s">
        <v>1394</v>
      </c>
      <c r="C62" s="1895" t="s">
        <v>1395</v>
      </c>
      <c r="D62" s="1896"/>
      <c r="E62" s="1897"/>
      <c r="F62" s="1898"/>
      <c r="G62" s="1898"/>
      <c r="H62" s="1899"/>
      <c r="I62" s="1899"/>
      <c r="J62" s="1899"/>
      <c r="K62" s="1676"/>
      <c r="L62" s="1900"/>
      <c r="M62" s="1901"/>
      <c r="Q62" s="1902"/>
      <c r="R62" s="1903"/>
      <c r="S62" s="2071"/>
      <c r="T62" s="1904"/>
      <c r="U62" s="1904"/>
      <c r="V62" s="2094"/>
      <c r="Y62" s="1905" t="s">
        <v>1394</v>
      </c>
      <c r="Z62" s="1906"/>
      <c r="AA62" s="1907"/>
      <c r="AB62" s="1908"/>
      <c r="AC62" s="1909"/>
      <c r="AD62" s="1907"/>
    </row>
    <row r="63" spans="1:30" ht="20.100000000000001" customHeight="1">
      <c r="A63" s="3195"/>
      <c r="B63" s="3197" t="s">
        <v>1396</v>
      </c>
      <c r="C63" s="1836" t="s">
        <v>1397</v>
      </c>
      <c r="D63" s="1837"/>
      <c r="E63" s="1838"/>
      <c r="F63" s="1838"/>
      <c r="G63" s="1839"/>
      <c r="H63" s="1840"/>
      <c r="I63" s="1840"/>
      <c r="J63" s="1840"/>
      <c r="K63" s="1841"/>
      <c r="L63" s="1842"/>
      <c r="M63" s="1843"/>
      <c r="Q63" s="1786"/>
      <c r="S63" s="2060"/>
      <c r="T63" s="1787"/>
      <c r="U63" s="1787"/>
      <c r="V63" s="2082"/>
      <c r="Y63" s="3198" t="s">
        <v>1396</v>
      </c>
      <c r="Z63" s="1712">
        <f>AVERAGE(AC63:AC81)</f>
        <v>2.4285714285714284</v>
      </c>
      <c r="AA63" s="1713">
        <f>COUNTA(AD63:AD81)</f>
        <v>7</v>
      </c>
      <c r="AB63" s="1783" t="str">
        <f>C63</f>
        <v>【長く住宅に住むための備え】</v>
      </c>
      <c r="AC63" s="1788"/>
      <c r="AD63" s="1789"/>
    </row>
    <row r="64" spans="1:30" ht="27.6" customHeight="1">
      <c r="A64" s="3196"/>
      <c r="B64" s="3197"/>
      <c r="C64" s="3178" t="s">
        <v>1398</v>
      </c>
      <c r="D64" s="3170" t="s">
        <v>1399</v>
      </c>
      <c r="E64" s="1816" t="s">
        <v>1400</v>
      </c>
      <c r="F64" s="1817" t="s">
        <v>1401</v>
      </c>
      <c r="G64" s="1756" t="s">
        <v>1314</v>
      </c>
      <c r="H64" s="1757" t="str">
        <f>IF(T64=1,"●","")</f>
        <v/>
      </c>
      <c r="I64" s="1910" t="str">
        <f>IF(T64=2,"●","")</f>
        <v/>
      </c>
      <c r="J64" s="1910" t="str">
        <f>IF(T64=3,"●","")</f>
        <v>●</v>
      </c>
      <c r="K64" s="1627"/>
      <c r="L64" s="2002"/>
      <c r="M64" s="1802">
        <f t="shared" ref="M64:M75" si="26">U64</f>
        <v>3</v>
      </c>
      <c r="Q64" s="1709" t="s">
        <v>1315</v>
      </c>
      <c r="R64" s="1710" t="s">
        <v>1316</v>
      </c>
      <c r="S64" s="2057">
        <f>スコア!M52</f>
        <v>5</v>
      </c>
      <c r="T64" s="1711">
        <f>IF(S64=0,"",IF(S64&lt;=S$7,1,IF(S64&lt;U$7,2,IF(S64&gt;=U$7,3,""))))</f>
        <v>3</v>
      </c>
      <c r="U64" s="1711">
        <f t="shared" ref="U64:U75" si="27">IF(T64="","",IF(T64=3,3,IF(V64=TRUE,T64+1,T64)))</f>
        <v>3</v>
      </c>
      <c r="V64" s="2090" t="b">
        <v>0</v>
      </c>
      <c r="Y64" s="3198"/>
      <c r="Z64" s="1712"/>
      <c r="AA64" s="1713"/>
      <c r="AB64" s="3165" t="s">
        <v>1398</v>
      </c>
      <c r="AC64" s="1714">
        <f>IFERROR(AVERAGE(M64:M65),"")</f>
        <v>2</v>
      </c>
      <c r="AD64" s="1699">
        <f>COUNTA(E64:E65)</f>
        <v>2</v>
      </c>
    </row>
    <row r="65" spans="1:30" ht="126" customHeight="1">
      <c r="A65" s="3196"/>
      <c r="B65" s="3197"/>
      <c r="C65" s="3151"/>
      <c r="D65" s="3154"/>
      <c r="E65" s="1733" t="s">
        <v>1402</v>
      </c>
      <c r="F65" s="1827" t="s">
        <v>1403</v>
      </c>
      <c r="G65" s="1735" t="s">
        <v>1404</v>
      </c>
      <c r="H65" s="2012"/>
      <c r="I65" s="2014"/>
      <c r="J65" s="2014"/>
      <c r="K65" s="2003"/>
      <c r="L65" s="2004"/>
      <c r="M65" s="2024">
        <f t="shared" si="26"/>
        <v>1</v>
      </c>
      <c r="Q65" s="1871"/>
      <c r="R65" s="1872"/>
      <c r="S65" s="2069">
        <v>1</v>
      </c>
      <c r="T65" s="1742">
        <f>IF(S65=0,"",IF(S65=4,"",S65))</f>
        <v>1</v>
      </c>
      <c r="U65" s="1742">
        <f t="shared" si="27"/>
        <v>1</v>
      </c>
      <c r="V65" s="2089" t="b">
        <v>0</v>
      </c>
      <c r="Y65" s="3198"/>
      <c r="Z65" s="1712"/>
      <c r="AA65" s="1713"/>
      <c r="AB65" s="3157"/>
      <c r="AC65" s="1753"/>
      <c r="AD65" s="1754"/>
    </row>
    <row r="66" spans="1:30" ht="27.6" customHeight="1">
      <c r="A66" s="1664"/>
      <c r="B66" s="1911"/>
      <c r="C66" s="3150" t="s">
        <v>1405</v>
      </c>
      <c r="D66" s="3153" t="s">
        <v>1406</v>
      </c>
      <c r="E66" s="1701" t="s">
        <v>1407</v>
      </c>
      <c r="F66" s="1820" t="s">
        <v>1408</v>
      </c>
      <c r="G66" s="1858" t="s">
        <v>1409</v>
      </c>
      <c r="H66" s="1704" t="str">
        <f t="shared" ref="H66:H70" si="28">IF(T66=1,"●","")</f>
        <v/>
      </c>
      <c r="I66" s="1878" t="str">
        <f t="shared" ref="I66:I70" si="29">IF(T66=2,"●","")</f>
        <v/>
      </c>
      <c r="J66" s="1878" t="str">
        <f t="shared" ref="J66:J70" si="30">IF(T66=3,"●","")</f>
        <v>●</v>
      </c>
      <c r="K66" s="1611"/>
      <c r="L66" s="1996"/>
      <c r="M66" s="1708">
        <f t="shared" si="26"/>
        <v>3</v>
      </c>
      <c r="Q66" s="1709" t="s">
        <v>1410</v>
      </c>
      <c r="R66" s="1710" t="s">
        <v>515</v>
      </c>
      <c r="S66" s="2057">
        <f>スコア!M36</f>
        <v>5</v>
      </c>
      <c r="T66" s="1711">
        <f>IF(S66=0,"",IF(S66&lt;=S$7,1,IF(S66&lt;U$7,2,IF(S66&gt;=U$7,3,""))))</f>
        <v>3</v>
      </c>
      <c r="U66" s="1711">
        <f t="shared" si="27"/>
        <v>3</v>
      </c>
      <c r="V66" s="2090" t="b">
        <v>0</v>
      </c>
      <c r="Y66" s="1912"/>
      <c r="Z66" s="1712"/>
      <c r="AA66" s="1713"/>
      <c r="AB66" s="3165" t="s">
        <v>1405</v>
      </c>
      <c r="AC66" s="1714">
        <f>IFERROR(AVERAGE(M66:M68),"")</f>
        <v>3</v>
      </c>
      <c r="AD66" s="1699">
        <f>COUNTA(E66:E68)</f>
        <v>3</v>
      </c>
    </row>
    <row r="67" spans="1:30" ht="27.6" customHeight="1">
      <c r="A67" s="1664"/>
      <c r="B67" s="1911"/>
      <c r="C67" s="3150"/>
      <c r="D67" s="3153"/>
      <c r="E67" s="1715" t="s">
        <v>1411</v>
      </c>
      <c r="F67" s="1716" t="s">
        <v>1412</v>
      </c>
      <c r="G67" s="1717" t="s">
        <v>1413</v>
      </c>
      <c r="H67" s="1718" t="str">
        <f t="shared" si="28"/>
        <v/>
      </c>
      <c r="I67" s="1873" t="str">
        <f t="shared" si="29"/>
        <v/>
      </c>
      <c r="J67" s="1873" t="str">
        <f t="shared" si="30"/>
        <v>●</v>
      </c>
      <c r="K67" s="1612"/>
      <c r="L67" s="2005"/>
      <c r="M67" s="1721">
        <f t="shared" si="26"/>
        <v>3</v>
      </c>
      <c r="Q67" s="1722" t="s">
        <v>1414</v>
      </c>
      <c r="R67" s="1723" t="s">
        <v>566</v>
      </c>
      <c r="S67" s="2062">
        <f>スコア!M37</f>
        <v>5</v>
      </c>
      <c r="T67" s="1724">
        <f>IF(S67=0,"",IF(S67&lt;=S$7,1,IF(S67&lt;U$7,2,IF(S67&gt;=U$7,3,""))))</f>
        <v>3</v>
      </c>
      <c r="U67" s="1724">
        <f t="shared" si="27"/>
        <v>3</v>
      </c>
      <c r="V67" s="2091" t="b">
        <v>0</v>
      </c>
      <c r="Y67" s="1912"/>
      <c r="Z67" s="1712"/>
      <c r="AA67" s="1713"/>
      <c r="AB67" s="3156"/>
      <c r="AC67" s="1725"/>
      <c r="AD67" s="1713"/>
    </row>
    <row r="68" spans="1:30" ht="27.6" customHeight="1">
      <c r="A68" s="1664"/>
      <c r="B68" s="1911"/>
      <c r="C68" s="3150"/>
      <c r="D68" s="3153"/>
      <c r="E68" s="1701" t="s">
        <v>1415</v>
      </c>
      <c r="F68" s="1820" t="s">
        <v>1416</v>
      </c>
      <c r="G68" s="1858" t="s">
        <v>1417</v>
      </c>
      <c r="H68" s="1704" t="str">
        <f t="shared" si="28"/>
        <v/>
      </c>
      <c r="I68" s="1878" t="str">
        <f t="shared" si="29"/>
        <v/>
      </c>
      <c r="J68" s="1878" t="str">
        <f t="shared" si="30"/>
        <v>●</v>
      </c>
      <c r="K68" s="1611"/>
      <c r="L68" s="1996"/>
      <c r="M68" s="1708">
        <f t="shared" si="26"/>
        <v>3</v>
      </c>
      <c r="Q68" s="1740" t="s">
        <v>1418</v>
      </c>
      <c r="R68" s="1741" t="s">
        <v>238</v>
      </c>
      <c r="S68" s="2063">
        <f>スコア!M38</f>
        <v>5</v>
      </c>
      <c r="T68" s="1742">
        <f>IF(S68=0,"",IF(S68&lt;=S$7,1,IF(S68&lt;U$7,2,IF(S68&gt;=U$7,3,""))))</f>
        <v>3</v>
      </c>
      <c r="U68" s="1742">
        <f t="shared" si="27"/>
        <v>3</v>
      </c>
      <c r="V68" s="2092" t="b">
        <v>0</v>
      </c>
      <c r="Y68" s="1912"/>
      <c r="Z68" s="1712"/>
      <c r="AA68" s="1713"/>
      <c r="AB68" s="3157"/>
      <c r="AC68" s="1753"/>
      <c r="AD68" s="1754"/>
    </row>
    <row r="69" spans="1:30" ht="27.6" customHeight="1">
      <c r="A69" s="1664"/>
      <c r="B69" s="1911"/>
      <c r="C69" s="3178" t="s">
        <v>1419</v>
      </c>
      <c r="D69" s="3170" t="s">
        <v>1420</v>
      </c>
      <c r="E69" s="1755" t="s">
        <v>1421</v>
      </c>
      <c r="F69" s="1847" t="s">
        <v>1422</v>
      </c>
      <c r="G69" s="1848" t="s">
        <v>1423</v>
      </c>
      <c r="H69" s="1849" t="str">
        <f t="shared" si="28"/>
        <v/>
      </c>
      <c r="I69" s="1913" t="str">
        <f t="shared" si="29"/>
        <v>●</v>
      </c>
      <c r="J69" s="1913" t="str">
        <f t="shared" si="30"/>
        <v/>
      </c>
      <c r="K69" s="1631"/>
      <c r="L69" s="1632"/>
      <c r="M69" s="1851">
        <f t="shared" si="26"/>
        <v>2</v>
      </c>
      <c r="Q69" s="1709" t="s">
        <v>1424</v>
      </c>
      <c r="R69" s="1710" t="s">
        <v>522</v>
      </c>
      <c r="S69" s="2057">
        <f>スコア!M47</f>
        <v>3</v>
      </c>
      <c r="T69" s="1711">
        <f>IF(S69=0,"",IF(S69&lt;=S$7,1,IF(S69&lt;U$7,2,IF(S69&gt;=U$7,3,""))))</f>
        <v>2</v>
      </c>
      <c r="U69" s="1711">
        <f t="shared" si="27"/>
        <v>2</v>
      </c>
      <c r="V69" s="2090" t="b">
        <v>0</v>
      </c>
      <c r="Y69" s="1912"/>
      <c r="Z69" s="1712"/>
      <c r="AA69" s="1713"/>
      <c r="AB69" s="3156" t="s">
        <v>1419</v>
      </c>
      <c r="AC69" s="1714">
        <f>IFERROR(AVERAGE(M69:M70),"")</f>
        <v>2.5</v>
      </c>
      <c r="AD69" s="1713">
        <f>COUNTA(E69:E70)</f>
        <v>2</v>
      </c>
    </row>
    <row r="70" spans="1:30" ht="27.6" customHeight="1">
      <c r="A70" s="1664"/>
      <c r="B70" s="1911"/>
      <c r="C70" s="3151"/>
      <c r="D70" s="3154"/>
      <c r="E70" s="1733" t="s">
        <v>1425</v>
      </c>
      <c r="F70" s="1734" t="s">
        <v>1426</v>
      </c>
      <c r="G70" s="1735" t="s">
        <v>1427</v>
      </c>
      <c r="H70" s="1736" t="str">
        <f t="shared" si="28"/>
        <v/>
      </c>
      <c r="I70" s="1914" t="str">
        <f t="shared" si="29"/>
        <v/>
      </c>
      <c r="J70" s="1914" t="str">
        <f t="shared" si="30"/>
        <v>●</v>
      </c>
      <c r="K70" s="1992"/>
      <c r="L70" s="2006"/>
      <c r="M70" s="1739">
        <f t="shared" si="26"/>
        <v>3</v>
      </c>
      <c r="Q70" s="1722" t="s">
        <v>1428</v>
      </c>
      <c r="R70" s="1723" t="s">
        <v>135</v>
      </c>
      <c r="S70" s="2062">
        <f>スコア!M50</f>
        <v>5</v>
      </c>
      <c r="T70" s="1724">
        <f>IF(S70=0,"",IF(S70&lt;=S$7,1,IF(S70&lt;U$7,2,IF(S70&gt;=U$7,3,""))))</f>
        <v>3</v>
      </c>
      <c r="U70" s="1724">
        <f t="shared" si="27"/>
        <v>3</v>
      </c>
      <c r="V70" s="2091" t="b">
        <v>0</v>
      </c>
      <c r="Y70" s="1912"/>
      <c r="Z70" s="1712"/>
      <c r="AA70" s="1713"/>
      <c r="AB70" s="3156"/>
      <c r="AC70" s="1725"/>
      <c r="AD70" s="1713"/>
    </row>
    <row r="71" spans="1:30" ht="108" customHeight="1">
      <c r="A71" s="1664"/>
      <c r="B71" s="1911"/>
      <c r="C71" s="3150" t="s">
        <v>1429</v>
      </c>
      <c r="D71" s="3153" t="s">
        <v>1430</v>
      </c>
      <c r="E71" s="1701" t="s">
        <v>1431</v>
      </c>
      <c r="F71" s="1820" t="s">
        <v>1432</v>
      </c>
      <c r="G71" s="1858" t="s">
        <v>1433</v>
      </c>
      <c r="H71" s="1625"/>
      <c r="I71" s="1626"/>
      <c r="J71" s="1626"/>
      <c r="K71" s="1611"/>
      <c r="L71" s="2001"/>
      <c r="M71" s="2026">
        <f t="shared" si="26"/>
        <v>1</v>
      </c>
      <c r="Q71" s="1885"/>
      <c r="R71" s="1886"/>
      <c r="S71" s="2070">
        <v>1</v>
      </c>
      <c r="T71" s="1724">
        <f>IF(S71=0,"",IF(S71=4,"",S71))</f>
        <v>1</v>
      </c>
      <c r="U71" s="1724">
        <f t="shared" si="27"/>
        <v>1</v>
      </c>
      <c r="V71" s="2093" t="b">
        <v>0</v>
      </c>
      <c r="Y71" s="1912"/>
      <c r="Z71" s="1712"/>
      <c r="AA71" s="1713"/>
      <c r="AB71" s="3165" t="s">
        <v>1429</v>
      </c>
      <c r="AC71" s="1714">
        <f>IFERROR(AVERAGE(M71:M74),"")</f>
        <v>1.5</v>
      </c>
      <c r="AD71" s="1699">
        <f>COUNTA(E71:E74)</f>
        <v>4</v>
      </c>
    </row>
    <row r="72" spans="1:30" ht="27.6" customHeight="1">
      <c r="A72" s="1664"/>
      <c r="B72" s="1911"/>
      <c r="C72" s="3150"/>
      <c r="D72" s="3153"/>
      <c r="E72" s="1726" t="s">
        <v>1434</v>
      </c>
      <c r="F72" s="1727" t="s">
        <v>1435</v>
      </c>
      <c r="G72" s="1717" t="s">
        <v>1436</v>
      </c>
      <c r="H72" s="1704" t="str">
        <f t="shared" ref="H72:H75" si="31">IF(T72=1,"●","")</f>
        <v/>
      </c>
      <c r="I72" s="1878" t="str">
        <f t="shared" ref="I72:I75" si="32">IF(T72=2,"●","")</f>
        <v>●</v>
      </c>
      <c r="J72" s="1878" t="str">
        <f t="shared" ref="J72:J75" si="33">IF(T72=3,"●","")</f>
        <v/>
      </c>
      <c r="K72" s="1997"/>
      <c r="L72" s="1998"/>
      <c r="M72" s="1708">
        <f t="shared" si="26"/>
        <v>2</v>
      </c>
      <c r="Q72" s="1722" t="s">
        <v>1437</v>
      </c>
      <c r="R72" s="1723" t="s">
        <v>1438</v>
      </c>
      <c r="S72" s="2062">
        <f>スコア!M40</f>
        <v>3</v>
      </c>
      <c r="T72" s="1724">
        <f>IF(S72=0,"",IF(S72&lt;=S$7,1,IF(S72&lt;U$7,2,IF(S72&gt;=U$7,3,""))))</f>
        <v>2</v>
      </c>
      <c r="U72" s="1724">
        <f t="shared" si="27"/>
        <v>2</v>
      </c>
      <c r="V72" s="2091" t="b">
        <v>0</v>
      </c>
      <c r="Y72" s="1912"/>
      <c r="Z72" s="1712"/>
      <c r="AA72" s="1713"/>
      <c r="AB72" s="3156"/>
      <c r="AC72" s="1725"/>
      <c r="AD72" s="1713"/>
    </row>
    <row r="73" spans="1:30" ht="27.6" customHeight="1">
      <c r="A73" s="1664"/>
      <c r="B73" s="1911"/>
      <c r="C73" s="3150"/>
      <c r="D73" s="3153"/>
      <c r="E73" s="1715" t="s">
        <v>1439</v>
      </c>
      <c r="F73" s="1716" t="s">
        <v>1440</v>
      </c>
      <c r="G73" s="1717" t="s">
        <v>1441</v>
      </c>
      <c r="H73" s="1718" t="str">
        <f t="shared" si="31"/>
        <v>●</v>
      </c>
      <c r="I73" s="1873" t="str">
        <f t="shared" si="32"/>
        <v/>
      </c>
      <c r="J73" s="1873" t="str">
        <f t="shared" si="33"/>
        <v/>
      </c>
      <c r="K73" s="1612"/>
      <c r="L73" s="1991"/>
      <c r="M73" s="1721">
        <f t="shared" si="26"/>
        <v>1</v>
      </c>
      <c r="Q73" s="1722" t="s">
        <v>1442</v>
      </c>
      <c r="R73" s="1723" t="s">
        <v>1443</v>
      </c>
      <c r="S73" s="2062">
        <f>スコア!M42</f>
        <v>1</v>
      </c>
      <c r="T73" s="1724">
        <f>IF(S73=0,"",IF(S73&lt;=S$7,1,IF(S73&lt;U$7,2,IF(S73&gt;=U$7,3,""))))</f>
        <v>1</v>
      </c>
      <c r="U73" s="1724">
        <f t="shared" si="27"/>
        <v>1</v>
      </c>
      <c r="V73" s="2091" t="b">
        <v>0</v>
      </c>
      <c r="Y73" s="1912"/>
      <c r="Z73" s="1712"/>
      <c r="AA73" s="1713"/>
      <c r="AB73" s="3156"/>
      <c r="AC73" s="1725"/>
      <c r="AD73" s="1713"/>
    </row>
    <row r="74" spans="1:30" ht="27.6" customHeight="1">
      <c r="A74" s="1664"/>
      <c r="B74" s="1911"/>
      <c r="C74" s="3150"/>
      <c r="D74" s="3153"/>
      <c r="E74" s="1701" t="s">
        <v>1444</v>
      </c>
      <c r="F74" s="1820" t="s">
        <v>1445</v>
      </c>
      <c r="G74" s="1750" t="s">
        <v>1446</v>
      </c>
      <c r="H74" s="1704" t="str">
        <f t="shared" si="31"/>
        <v/>
      </c>
      <c r="I74" s="1878" t="str">
        <f t="shared" si="32"/>
        <v>●</v>
      </c>
      <c r="J74" s="1878" t="str">
        <f t="shared" si="33"/>
        <v/>
      </c>
      <c r="K74" s="1611"/>
      <c r="L74" s="2001"/>
      <c r="M74" s="1708">
        <f t="shared" si="26"/>
        <v>2</v>
      </c>
      <c r="Q74" s="1740" t="s">
        <v>1447</v>
      </c>
      <c r="R74" s="1741" t="s">
        <v>1448</v>
      </c>
      <c r="S74" s="2063">
        <f>スコア!M44</f>
        <v>3</v>
      </c>
      <c r="T74" s="1742">
        <f>IF(S74=0,"",IF(S74&lt;=S$7,1,IF(S74&lt;U$7,2,IF(S74&gt;=U$7,3,""))))</f>
        <v>2</v>
      </c>
      <c r="U74" s="1742">
        <f t="shared" si="27"/>
        <v>2</v>
      </c>
      <c r="V74" s="2092" t="b">
        <v>0</v>
      </c>
      <c r="Y74" s="1912"/>
      <c r="Z74" s="1712"/>
      <c r="AA74" s="1713"/>
      <c r="AB74" s="3157"/>
      <c r="AC74" s="1753"/>
      <c r="AD74" s="1754"/>
    </row>
    <row r="75" spans="1:30" ht="27.6" customHeight="1">
      <c r="A75" s="1664"/>
      <c r="B75" s="1911"/>
      <c r="C75" s="1768" t="s">
        <v>1449</v>
      </c>
      <c r="D75" s="1769" t="s">
        <v>1450</v>
      </c>
      <c r="E75" s="1770" t="s">
        <v>1451</v>
      </c>
      <c r="F75" s="1771" t="s">
        <v>1450</v>
      </c>
      <c r="G75" s="1772" t="s">
        <v>1452</v>
      </c>
      <c r="H75" s="1915" t="str">
        <f t="shared" si="31"/>
        <v/>
      </c>
      <c r="I75" s="1916" t="str">
        <f t="shared" si="32"/>
        <v/>
      </c>
      <c r="J75" s="1916" t="str">
        <f t="shared" si="33"/>
        <v>●</v>
      </c>
      <c r="K75" s="1988"/>
      <c r="L75" s="1994"/>
      <c r="M75" s="1811">
        <f t="shared" si="26"/>
        <v>3</v>
      </c>
      <c r="Q75" s="1776" t="s">
        <v>1269</v>
      </c>
      <c r="R75" s="2604" t="s">
        <v>1682</v>
      </c>
      <c r="S75" s="2059">
        <f>スコア!M24</f>
        <v>5</v>
      </c>
      <c r="T75" s="1778">
        <f>IF(S75=0,"",IF(S75&lt;=S$7,1,IF(S75&lt;U$7,2,IF(S75&gt;=U$7,3,""))))</f>
        <v>3</v>
      </c>
      <c r="U75" s="1778">
        <f t="shared" si="27"/>
        <v>3</v>
      </c>
      <c r="V75" s="2081" t="b">
        <v>0</v>
      </c>
      <c r="Y75" s="1912"/>
      <c r="Z75" s="1712"/>
      <c r="AA75" s="1713"/>
      <c r="AB75" s="1917" t="s">
        <v>1449</v>
      </c>
      <c r="AC75" s="1714">
        <f>IFERROR(AVERAGE(M75),"")</f>
        <v>3</v>
      </c>
      <c r="AD75" s="1699">
        <f>COUNTA(E75)</f>
        <v>1</v>
      </c>
    </row>
    <row r="76" spans="1:30" ht="20.100000000000001" customHeight="1">
      <c r="A76" s="1664"/>
      <c r="B76" s="1911"/>
      <c r="C76" s="1862" t="s">
        <v>1453</v>
      </c>
      <c r="D76" s="1863"/>
      <c r="E76" s="1864"/>
      <c r="F76" s="1692"/>
      <c r="G76" s="1693"/>
      <c r="H76" s="1694"/>
      <c r="I76" s="1694"/>
      <c r="J76" s="1694"/>
      <c r="K76" s="1695"/>
      <c r="L76" s="1696"/>
      <c r="M76" s="1697"/>
      <c r="Q76" s="1786"/>
      <c r="S76" s="2060"/>
      <c r="T76" s="1787"/>
      <c r="U76" s="1787"/>
      <c r="V76" s="2082"/>
      <c r="Y76" s="1912"/>
      <c r="Z76" s="1712"/>
      <c r="AA76" s="1713"/>
      <c r="AB76" s="1783" t="str">
        <f>C76</f>
        <v>【地域の居住環境への配慮】</v>
      </c>
      <c r="AC76" s="1918"/>
      <c r="AD76" s="1919"/>
    </row>
    <row r="77" spans="1:30" ht="27.6" customHeight="1">
      <c r="A77" s="1664"/>
      <c r="B77" s="1911"/>
      <c r="C77" s="3149" t="s">
        <v>1455</v>
      </c>
      <c r="D77" s="3152" t="s">
        <v>1456</v>
      </c>
      <c r="E77" s="1715" t="s">
        <v>1457</v>
      </c>
      <c r="F77" s="1716" t="s">
        <v>1458</v>
      </c>
      <c r="G77" s="1717" t="s">
        <v>1459</v>
      </c>
      <c r="H77" s="1718" t="str">
        <f t="shared" ref="H77:H81" si="34">IF(T77=1,"●","")</f>
        <v/>
      </c>
      <c r="I77" s="1873" t="str">
        <f t="shared" ref="I77:I81" si="35">IF(T77=2,"●","")</f>
        <v/>
      </c>
      <c r="J77" s="1873" t="str">
        <f t="shared" ref="J77:J81" si="36">IF(T77=3,"●","")</f>
        <v>●</v>
      </c>
      <c r="K77" s="1612"/>
      <c r="L77" s="1991"/>
      <c r="M77" s="1721">
        <f t="shared" ref="M77:M81" si="37">U77</f>
        <v>3</v>
      </c>
      <c r="Q77" s="1709" t="s">
        <v>1460</v>
      </c>
      <c r="R77" s="1710" t="s">
        <v>1454</v>
      </c>
      <c r="S77" s="2057">
        <f>スコア!M61</f>
        <v>5</v>
      </c>
      <c r="T77" s="1711">
        <f>IF(S77=0,"",IF(S77&lt;=S$7,1,IF(S77&lt;U$7,2,IF(S77&gt;=U$7,3,""))))</f>
        <v>3</v>
      </c>
      <c r="U77" s="1711">
        <f t="shared" ref="U77:U81" si="38">IF(T77="","",IF(T77=3,3,IF(V77=TRUE,T77+1,T77)))</f>
        <v>3</v>
      </c>
      <c r="V77" s="2090" t="b">
        <v>0</v>
      </c>
      <c r="Y77" s="1912"/>
      <c r="Z77" s="1712"/>
      <c r="AA77" s="1713"/>
      <c r="AB77" s="3165" t="s">
        <v>1455</v>
      </c>
      <c r="AC77" s="1714">
        <f>IFERROR(AVERAGE(M77:M80),"")</f>
        <v>2</v>
      </c>
      <c r="AD77" s="1699">
        <f>COUNTA(E77:E80)</f>
        <v>4</v>
      </c>
    </row>
    <row r="78" spans="1:30" ht="27.6" customHeight="1">
      <c r="A78" s="1664"/>
      <c r="B78" s="1911"/>
      <c r="C78" s="3150"/>
      <c r="D78" s="3153"/>
      <c r="E78" s="1726" t="s">
        <v>1461</v>
      </c>
      <c r="F78" s="1727" t="s">
        <v>1462</v>
      </c>
      <c r="G78" s="1750" t="s">
        <v>1463</v>
      </c>
      <c r="H78" s="1704" t="str">
        <f t="shared" si="34"/>
        <v>●</v>
      </c>
      <c r="I78" s="1878" t="str">
        <f t="shared" si="35"/>
        <v/>
      </c>
      <c r="J78" s="1878" t="str">
        <f t="shared" si="36"/>
        <v/>
      </c>
      <c r="K78" s="1997"/>
      <c r="L78" s="1998"/>
      <c r="M78" s="1731">
        <f t="shared" si="37"/>
        <v>1</v>
      </c>
      <c r="Q78" s="1722" t="s">
        <v>1464</v>
      </c>
      <c r="R78" s="1723" t="s">
        <v>1465</v>
      </c>
      <c r="S78" s="2062">
        <f>スコア!M63</f>
        <v>2</v>
      </c>
      <c r="T78" s="1724">
        <f>IF(S78=0,"",IF(S78&lt;=S$7,1,IF(S78&lt;U$7,2,IF(S78&gt;=U$7,3,""))))</f>
        <v>1</v>
      </c>
      <c r="U78" s="1724">
        <f t="shared" si="38"/>
        <v>1</v>
      </c>
      <c r="V78" s="2091" t="b">
        <v>0</v>
      </c>
      <c r="Y78" s="1912"/>
      <c r="Z78" s="1712"/>
      <c r="AA78" s="1713"/>
      <c r="AB78" s="3156"/>
      <c r="AC78" s="1725"/>
      <c r="AD78" s="1713"/>
    </row>
    <row r="79" spans="1:30" ht="27.6" customHeight="1">
      <c r="A79" s="1664"/>
      <c r="B79" s="1911"/>
      <c r="C79" s="3150"/>
      <c r="D79" s="3153"/>
      <c r="E79" s="1715" t="s">
        <v>1466</v>
      </c>
      <c r="F79" s="1716" t="s">
        <v>1467</v>
      </c>
      <c r="G79" s="1717" t="s">
        <v>1468</v>
      </c>
      <c r="H79" s="1718" t="str">
        <f t="shared" si="34"/>
        <v/>
      </c>
      <c r="I79" s="1873" t="str">
        <f t="shared" si="35"/>
        <v>●</v>
      </c>
      <c r="J79" s="1873" t="str">
        <f t="shared" si="36"/>
        <v/>
      </c>
      <c r="K79" s="1612"/>
      <c r="L79" s="1991"/>
      <c r="M79" s="1721">
        <f t="shared" si="37"/>
        <v>2</v>
      </c>
      <c r="Q79" s="1722" t="s">
        <v>1469</v>
      </c>
      <c r="R79" s="1723" t="s">
        <v>1470</v>
      </c>
      <c r="S79" s="2062">
        <f>スコア!M64</f>
        <v>3</v>
      </c>
      <c r="T79" s="1724">
        <f>IF(S79=0,"",IF(S79&lt;=S$7,1,IF(S79&lt;U$7,2,IF(S79&gt;=U$7,3,""))))</f>
        <v>2</v>
      </c>
      <c r="U79" s="1724">
        <f t="shared" si="38"/>
        <v>2</v>
      </c>
      <c r="V79" s="2091" t="b">
        <v>0</v>
      </c>
      <c r="Y79" s="1912"/>
      <c r="Z79" s="1712"/>
      <c r="AA79" s="1713"/>
      <c r="AB79" s="3156"/>
      <c r="AC79" s="1725"/>
      <c r="AD79" s="1713"/>
    </row>
    <row r="80" spans="1:30" ht="27.6" customHeight="1">
      <c r="A80" s="1664"/>
      <c r="B80" s="1911"/>
      <c r="C80" s="3151"/>
      <c r="D80" s="3154"/>
      <c r="E80" s="1920" t="s">
        <v>1471</v>
      </c>
      <c r="F80" s="2800" t="s">
        <v>1472</v>
      </c>
      <c r="G80" s="1921" t="s">
        <v>1473</v>
      </c>
      <c r="H80" s="1922" t="str">
        <f t="shared" si="34"/>
        <v/>
      </c>
      <c r="I80" s="1923" t="str">
        <f t="shared" si="35"/>
        <v>●</v>
      </c>
      <c r="J80" s="1923" t="str">
        <f t="shared" si="36"/>
        <v/>
      </c>
      <c r="K80" s="1999"/>
      <c r="L80" s="2000"/>
      <c r="M80" s="1775">
        <f t="shared" si="37"/>
        <v>2</v>
      </c>
      <c r="Q80" s="1740" t="s">
        <v>1474</v>
      </c>
      <c r="R80" s="1741" t="s">
        <v>1475</v>
      </c>
      <c r="S80" s="2063">
        <f>スコア!M66</f>
        <v>3</v>
      </c>
      <c r="T80" s="1742">
        <f>IF(S80=0,"",IF(S80&lt;=S$7,1,IF(S80&lt;U$7,2,IF(S80&gt;=U$7,3,""))))</f>
        <v>2</v>
      </c>
      <c r="U80" s="1742">
        <f t="shared" si="38"/>
        <v>2</v>
      </c>
      <c r="V80" s="2092" t="b">
        <v>0</v>
      </c>
      <c r="Y80" s="1912"/>
      <c r="Z80" s="1712"/>
      <c r="AA80" s="1713"/>
      <c r="AB80" s="3157"/>
      <c r="AC80" s="1753"/>
      <c r="AD80" s="1754"/>
    </row>
    <row r="81" spans="1:30" ht="27.6" customHeight="1">
      <c r="A81" s="1664"/>
      <c r="B81" s="1911"/>
      <c r="C81" s="1733" t="s">
        <v>1476</v>
      </c>
      <c r="D81" s="1856" t="s">
        <v>1477</v>
      </c>
      <c r="E81" s="1701" t="s">
        <v>1478</v>
      </c>
      <c r="F81" s="1820" t="s">
        <v>1479</v>
      </c>
      <c r="G81" s="1858" t="s">
        <v>1480</v>
      </c>
      <c r="H81" s="1728" t="str">
        <f t="shared" si="34"/>
        <v/>
      </c>
      <c r="I81" s="1878" t="str">
        <f t="shared" si="35"/>
        <v/>
      </c>
      <c r="J81" s="1878" t="str">
        <f t="shared" si="36"/>
        <v>●</v>
      </c>
      <c r="K81" s="1611"/>
      <c r="L81" s="2001"/>
      <c r="M81" s="1731">
        <f t="shared" si="37"/>
        <v>3</v>
      </c>
      <c r="Q81" s="1776" t="s">
        <v>1481</v>
      </c>
      <c r="R81" s="1777" t="s">
        <v>1482</v>
      </c>
      <c r="S81" s="2059">
        <f>スコア!M65</f>
        <v>5</v>
      </c>
      <c r="T81" s="1778">
        <f>IF(S81=0,"",IF(S81&lt;=S$7,1,IF(S81&lt;U$7,2,IF(S81&gt;=U$7,3,""))))</f>
        <v>3</v>
      </c>
      <c r="U81" s="1778">
        <f t="shared" si="38"/>
        <v>3</v>
      </c>
      <c r="V81" s="2081" t="b">
        <v>0</v>
      </c>
      <c r="Y81" s="1912"/>
      <c r="Z81" s="1712"/>
      <c r="AA81" s="1713"/>
      <c r="AB81" s="1924" t="s">
        <v>1476</v>
      </c>
      <c r="AC81" s="1714">
        <f>IFERROR(AVERAGE(M81),"")</f>
        <v>3</v>
      </c>
      <c r="AD81" s="1713">
        <f>COUNTA(E83)</f>
        <v>1</v>
      </c>
    </row>
    <row r="82" spans="1:30" ht="20.100000000000001" customHeight="1">
      <c r="A82" s="1828"/>
      <c r="B82" s="3204" t="s">
        <v>1483</v>
      </c>
      <c r="C82" s="1836" t="s">
        <v>1484</v>
      </c>
      <c r="D82" s="1837"/>
      <c r="E82" s="1838"/>
      <c r="F82" s="1838"/>
      <c r="G82" s="1839"/>
      <c r="H82" s="1840"/>
      <c r="I82" s="1840"/>
      <c r="J82" s="1840"/>
      <c r="K82" s="1925"/>
      <c r="L82" s="1842"/>
      <c r="M82" s="1843"/>
      <c r="Q82" s="1786"/>
      <c r="S82" s="2060"/>
      <c r="T82" s="1787"/>
      <c r="U82" s="1787"/>
      <c r="V82" s="2082"/>
      <c r="Y82" s="3206" t="s">
        <v>1483</v>
      </c>
      <c r="Z82" s="1698">
        <f>AVERAGE(AC82:AC97)</f>
        <v>1.8708333333333336</v>
      </c>
      <c r="AA82" s="1699">
        <f>COUNTA(AD82:AD97)</f>
        <v>4</v>
      </c>
      <c r="AB82" s="1783" t="str">
        <f>C82</f>
        <v>【建設資材等の適正な調達】</v>
      </c>
      <c r="AC82" s="1918"/>
      <c r="AD82" s="1919"/>
    </row>
    <row r="83" spans="1:30" ht="137.25" customHeight="1">
      <c r="A83" s="1700"/>
      <c r="B83" s="3205"/>
      <c r="C83" s="1926" t="s">
        <v>1485</v>
      </c>
      <c r="D83" s="1927" t="s">
        <v>1486</v>
      </c>
      <c r="E83" s="1846" t="s">
        <v>1487</v>
      </c>
      <c r="F83" s="1868" t="s">
        <v>1488</v>
      </c>
      <c r="G83" s="1848" t="s">
        <v>1489</v>
      </c>
      <c r="H83" s="1635"/>
      <c r="I83" s="2013"/>
      <c r="J83" s="2013"/>
      <c r="K83" s="1631"/>
      <c r="L83" s="1632"/>
      <c r="M83" s="2029">
        <f>U83</f>
        <v>1</v>
      </c>
      <c r="Q83" s="1859"/>
      <c r="R83" s="1860"/>
      <c r="S83" s="2067">
        <v>1</v>
      </c>
      <c r="T83" s="1778">
        <f>IF(S83=0,"",IF(S83=4,"",S83))</f>
        <v>1</v>
      </c>
      <c r="U83" s="1778">
        <f>IF(T83="","",IF(T83=3,3,IF(V83=TRUE,T83+1,T83)))</f>
        <v>1</v>
      </c>
      <c r="V83" s="2087" t="b">
        <v>0</v>
      </c>
      <c r="Y83" s="3207"/>
      <c r="Z83" s="1712"/>
      <c r="AA83" s="1713"/>
      <c r="AB83" s="1924" t="s">
        <v>1485</v>
      </c>
      <c r="AC83" s="1714">
        <f>IFERROR(AVERAGE(M83),"")</f>
        <v>1</v>
      </c>
      <c r="AD83" s="1713">
        <f>COUNTA(E83)</f>
        <v>1</v>
      </c>
    </row>
    <row r="84" spans="1:30" ht="26.25" customHeight="1">
      <c r="A84" s="1700"/>
      <c r="B84" s="1928"/>
      <c r="C84" s="1689" t="s">
        <v>1490</v>
      </c>
      <c r="D84" s="1808"/>
      <c r="E84" s="1929"/>
      <c r="F84" s="1930"/>
      <c r="G84" s="1930"/>
      <c r="H84" s="1931"/>
      <c r="I84" s="1931"/>
      <c r="J84" s="1931"/>
      <c r="K84" s="1695"/>
      <c r="L84" s="1696"/>
      <c r="M84" s="1697"/>
      <c r="S84" s="2060"/>
      <c r="T84" s="1932"/>
      <c r="U84" s="1932"/>
      <c r="V84" s="2082"/>
      <c r="Y84" s="1933"/>
      <c r="Z84" s="1712"/>
      <c r="AA84" s="1713"/>
      <c r="AB84" s="1783" t="str">
        <f>C84</f>
        <v>【建設時における資源の有効利用】</v>
      </c>
      <c r="AC84" s="1918"/>
      <c r="AD84" s="1919"/>
    </row>
    <row r="85" spans="1:30" ht="27.6" customHeight="1">
      <c r="A85" s="1664"/>
      <c r="B85" s="1934"/>
      <c r="C85" s="3150" t="s">
        <v>1491</v>
      </c>
      <c r="D85" s="3153" t="s">
        <v>1492</v>
      </c>
      <c r="E85" s="1819" t="s">
        <v>1493</v>
      </c>
      <c r="F85" s="1702" t="s">
        <v>1494</v>
      </c>
      <c r="G85" s="1703" t="s">
        <v>1495</v>
      </c>
      <c r="H85" s="1744" t="str">
        <f t="shared" ref="H85:H93" si="39">IF(T85=1,"●","")</f>
        <v/>
      </c>
      <c r="I85" s="1875" t="str">
        <f t="shared" ref="I85:I93" si="40">IF(T85=2,"●","")</f>
        <v/>
      </c>
      <c r="J85" s="1875" t="str">
        <f t="shared" ref="J85:J93" si="41">IF(T85=3,"●","")</f>
        <v>●</v>
      </c>
      <c r="K85" s="1613"/>
      <c r="L85" s="1990"/>
      <c r="M85" s="1747">
        <f t="shared" ref="M85:M93" si="42">U85</f>
        <v>3</v>
      </c>
      <c r="Q85" s="1709" t="s">
        <v>1496</v>
      </c>
      <c r="R85" s="1710" t="s">
        <v>336</v>
      </c>
      <c r="S85" s="2057">
        <f>スコア!M81</f>
        <v>5</v>
      </c>
      <c r="T85" s="1711">
        <f t="shared" ref="T85:T93" si="43">IF(S85=0,"",IF(S85&lt;=S$7,1,IF(S85&lt;U$7,2,IF(S85&gt;=U$7,3,""))))</f>
        <v>3</v>
      </c>
      <c r="U85" s="1711">
        <f t="shared" ref="U85:U93" si="44">IF(T85="","",IF(T85=3,3,IF(V85=TRUE,T85+1,T85)))</f>
        <v>3</v>
      </c>
      <c r="V85" s="2090" t="b">
        <v>0</v>
      </c>
      <c r="Y85" s="1935"/>
      <c r="Z85" s="1712"/>
      <c r="AA85" s="1713"/>
      <c r="AB85" s="3156" t="s">
        <v>1491</v>
      </c>
      <c r="AC85" s="1714">
        <f>IFERROR(AVERAGE(M85:M89),"")</f>
        <v>2.4</v>
      </c>
      <c r="AD85" s="1713">
        <f>COUNTA(E85:E89)</f>
        <v>5</v>
      </c>
    </row>
    <row r="86" spans="1:30" ht="27.6" customHeight="1">
      <c r="A86" s="1664"/>
      <c r="B86" s="1934"/>
      <c r="C86" s="3150"/>
      <c r="D86" s="3153"/>
      <c r="E86" s="1715" t="s">
        <v>1497</v>
      </c>
      <c r="F86" s="1716" t="s">
        <v>1498</v>
      </c>
      <c r="G86" s="1717" t="s">
        <v>1499</v>
      </c>
      <c r="H86" s="1718" t="str">
        <f t="shared" si="39"/>
        <v/>
      </c>
      <c r="I86" s="1873" t="str">
        <f t="shared" si="40"/>
        <v>●</v>
      </c>
      <c r="J86" s="1873" t="str">
        <f t="shared" si="41"/>
        <v/>
      </c>
      <c r="K86" s="1612"/>
      <c r="L86" s="1991"/>
      <c r="M86" s="1721">
        <f t="shared" si="42"/>
        <v>2</v>
      </c>
      <c r="Q86" s="1722" t="s">
        <v>1500</v>
      </c>
      <c r="R86" s="1723" t="s">
        <v>1501</v>
      </c>
      <c r="S86" s="2062">
        <f>スコア!M85</f>
        <v>3</v>
      </c>
      <c r="T86" s="1724">
        <f t="shared" si="43"/>
        <v>2</v>
      </c>
      <c r="U86" s="1724">
        <f t="shared" si="44"/>
        <v>2</v>
      </c>
      <c r="V86" s="2091" t="b">
        <v>0</v>
      </c>
      <c r="Y86" s="1935"/>
      <c r="Z86" s="1712"/>
      <c r="AA86" s="1713"/>
      <c r="AB86" s="3156"/>
      <c r="AC86" s="1725"/>
      <c r="AD86" s="1713"/>
    </row>
    <row r="87" spans="1:30" ht="27.6" customHeight="1">
      <c r="A87" s="1664"/>
      <c r="B87" s="1934"/>
      <c r="C87" s="3150"/>
      <c r="D87" s="3153"/>
      <c r="E87" s="1715" t="s">
        <v>1502</v>
      </c>
      <c r="F87" s="1716" t="s">
        <v>1503</v>
      </c>
      <c r="G87" s="1717" t="s">
        <v>1504</v>
      </c>
      <c r="H87" s="1718" t="str">
        <f t="shared" si="39"/>
        <v/>
      </c>
      <c r="I87" s="1873" t="str">
        <f t="shared" si="40"/>
        <v/>
      </c>
      <c r="J87" s="1873" t="str">
        <f t="shared" si="41"/>
        <v>●</v>
      </c>
      <c r="K87" s="1612"/>
      <c r="L87" s="1991"/>
      <c r="M87" s="1721">
        <f t="shared" si="42"/>
        <v>3</v>
      </c>
      <c r="Q87" s="1722" t="s">
        <v>1505</v>
      </c>
      <c r="R87" s="1723" t="s">
        <v>1506</v>
      </c>
      <c r="S87" s="2062">
        <f>スコア!M86</f>
        <v>4</v>
      </c>
      <c r="T87" s="1724">
        <f t="shared" si="43"/>
        <v>3</v>
      </c>
      <c r="U87" s="1724">
        <f t="shared" si="44"/>
        <v>3</v>
      </c>
      <c r="V87" s="2091" t="b">
        <v>0</v>
      </c>
      <c r="Y87" s="1935"/>
      <c r="Z87" s="1712"/>
      <c r="AA87" s="1713"/>
      <c r="AB87" s="3156"/>
      <c r="AC87" s="1725"/>
      <c r="AD87" s="1713"/>
    </row>
    <row r="88" spans="1:30" ht="27.6" customHeight="1">
      <c r="A88" s="1664"/>
      <c r="B88" s="1934"/>
      <c r="C88" s="3150"/>
      <c r="D88" s="3153"/>
      <c r="E88" s="1715" t="s">
        <v>1507</v>
      </c>
      <c r="F88" s="1716" t="s">
        <v>1508</v>
      </c>
      <c r="G88" s="1717" t="s">
        <v>1509</v>
      </c>
      <c r="H88" s="1718" t="str">
        <f t="shared" si="39"/>
        <v/>
      </c>
      <c r="I88" s="1873" t="str">
        <f t="shared" si="40"/>
        <v>●</v>
      </c>
      <c r="J88" s="1873" t="str">
        <f t="shared" si="41"/>
        <v/>
      </c>
      <c r="K88" s="1612"/>
      <c r="L88" s="1991"/>
      <c r="M88" s="1721">
        <f t="shared" si="42"/>
        <v>2</v>
      </c>
      <c r="Q88" s="1722" t="s">
        <v>1510</v>
      </c>
      <c r="R88" s="1723" t="s">
        <v>1511</v>
      </c>
      <c r="S88" s="2062">
        <f>スコア!M87</f>
        <v>3</v>
      </c>
      <c r="T88" s="1724">
        <f t="shared" si="43"/>
        <v>2</v>
      </c>
      <c r="U88" s="1724">
        <f t="shared" si="44"/>
        <v>2</v>
      </c>
      <c r="V88" s="2091" t="b">
        <v>0</v>
      </c>
      <c r="Y88" s="1935"/>
      <c r="Z88" s="1712"/>
      <c r="AA88" s="1713"/>
      <c r="AB88" s="3156"/>
      <c r="AC88" s="1725"/>
      <c r="AD88" s="1713"/>
    </row>
    <row r="89" spans="1:30" ht="27.6" customHeight="1">
      <c r="A89" s="1664"/>
      <c r="B89" s="1934"/>
      <c r="C89" s="3151"/>
      <c r="D89" s="3154"/>
      <c r="E89" s="1733" t="s">
        <v>1512</v>
      </c>
      <c r="F89" s="1734" t="s">
        <v>1513</v>
      </c>
      <c r="G89" s="1735" t="s">
        <v>1514</v>
      </c>
      <c r="H89" s="1736" t="str">
        <f t="shared" si="39"/>
        <v/>
      </c>
      <c r="I89" s="1914" t="str">
        <f t="shared" si="40"/>
        <v>●</v>
      </c>
      <c r="J89" s="1914" t="str">
        <f t="shared" si="41"/>
        <v/>
      </c>
      <c r="K89" s="1992"/>
      <c r="L89" s="1993"/>
      <c r="M89" s="1739">
        <f t="shared" si="42"/>
        <v>2</v>
      </c>
      <c r="Q89" s="1740" t="s">
        <v>1515</v>
      </c>
      <c r="R89" s="1741" t="s">
        <v>1516</v>
      </c>
      <c r="S89" s="2063">
        <f>スコア!M88</f>
        <v>3</v>
      </c>
      <c r="T89" s="1742">
        <f t="shared" si="43"/>
        <v>2</v>
      </c>
      <c r="U89" s="1742">
        <f t="shared" si="44"/>
        <v>2</v>
      </c>
      <c r="V89" s="2092" t="b">
        <v>0</v>
      </c>
      <c r="Y89" s="1935"/>
      <c r="Z89" s="1712"/>
      <c r="AA89" s="1713"/>
      <c r="AB89" s="3156"/>
      <c r="AC89" s="1725"/>
      <c r="AD89" s="1713"/>
    </row>
    <row r="90" spans="1:30" ht="27.6" customHeight="1">
      <c r="A90" s="1664"/>
      <c r="B90" s="1934"/>
      <c r="C90" s="3150" t="s">
        <v>1517</v>
      </c>
      <c r="D90" s="3153" t="s">
        <v>1518</v>
      </c>
      <c r="E90" s="1819" t="s">
        <v>1519</v>
      </c>
      <c r="F90" s="1702" t="s">
        <v>1520</v>
      </c>
      <c r="G90" s="1703" t="s">
        <v>1521</v>
      </c>
      <c r="H90" s="1744" t="str">
        <f t="shared" si="39"/>
        <v/>
      </c>
      <c r="I90" s="1875" t="str">
        <f t="shared" si="40"/>
        <v>●</v>
      </c>
      <c r="J90" s="1875" t="str">
        <f t="shared" si="41"/>
        <v/>
      </c>
      <c r="K90" s="1613"/>
      <c r="L90" s="1990"/>
      <c r="M90" s="1747">
        <f t="shared" si="42"/>
        <v>2</v>
      </c>
      <c r="Q90" s="1709" t="s">
        <v>1522</v>
      </c>
      <c r="R90" s="1710" t="s">
        <v>1523</v>
      </c>
      <c r="S90" s="2057">
        <f>スコア!M90</f>
        <v>3</v>
      </c>
      <c r="T90" s="1711">
        <f t="shared" si="43"/>
        <v>2</v>
      </c>
      <c r="U90" s="1711">
        <f t="shared" si="44"/>
        <v>2</v>
      </c>
      <c r="V90" s="2090" t="b">
        <v>0</v>
      </c>
      <c r="Y90" s="1935"/>
      <c r="Z90" s="1712"/>
      <c r="AA90" s="1713"/>
      <c r="AB90" s="3165" t="s">
        <v>1517</v>
      </c>
      <c r="AC90" s="1714">
        <f>IFERROR(AVERAGE(M90:M93),"")</f>
        <v>1.75</v>
      </c>
      <c r="AD90" s="1699">
        <f>COUNTA(E90:E93)</f>
        <v>4</v>
      </c>
    </row>
    <row r="91" spans="1:30" ht="27.6" customHeight="1">
      <c r="A91" s="1664"/>
      <c r="B91" s="1934"/>
      <c r="C91" s="3150"/>
      <c r="D91" s="3153"/>
      <c r="E91" s="1715" t="s">
        <v>1524</v>
      </c>
      <c r="F91" s="1716" t="s">
        <v>1525</v>
      </c>
      <c r="G91" s="1717" t="s">
        <v>1836</v>
      </c>
      <c r="H91" s="1718" t="str">
        <f t="shared" si="39"/>
        <v>●</v>
      </c>
      <c r="I91" s="1873" t="str">
        <f t="shared" si="40"/>
        <v/>
      </c>
      <c r="J91" s="1873" t="str">
        <f t="shared" si="41"/>
        <v/>
      </c>
      <c r="K91" s="1612"/>
      <c r="L91" s="1991"/>
      <c r="M91" s="1721">
        <f t="shared" si="42"/>
        <v>1</v>
      </c>
      <c r="Q91" s="1722" t="s">
        <v>1526</v>
      </c>
      <c r="R91" s="1723" t="s">
        <v>1527</v>
      </c>
      <c r="S91" s="2446">
        <f>スコア!M91</f>
        <v>2</v>
      </c>
      <c r="T91" s="1724">
        <f t="shared" si="43"/>
        <v>1</v>
      </c>
      <c r="U91" s="1724">
        <f t="shared" si="44"/>
        <v>1</v>
      </c>
      <c r="V91" s="2091" t="b">
        <v>0</v>
      </c>
      <c r="Y91" s="1935"/>
      <c r="Z91" s="1712"/>
      <c r="AA91" s="1713"/>
      <c r="AB91" s="3156"/>
      <c r="AC91" s="1725"/>
      <c r="AD91" s="1713"/>
    </row>
    <row r="92" spans="1:30" ht="27.6" customHeight="1">
      <c r="A92" s="1664"/>
      <c r="B92" s="1934"/>
      <c r="C92" s="3150"/>
      <c r="D92" s="3153"/>
      <c r="E92" s="1715" t="s">
        <v>1528</v>
      </c>
      <c r="F92" s="1716" t="s">
        <v>1529</v>
      </c>
      <c r="G92" s="1717" t="s">
        <v>1530</v>
      </c>
      <c r="H92" s="1718" t="str">
        <f t="shared" si="39"/>
        <v>●</v>
      </c>
      <c r="I92" s="1873" t="str">
        <f t="shared" si="40"/>
        <v/>
      </c>
      <c r="J92" s="1873" t="str">
        <f t="shared" si="41"/>
        <v/>
      </c>
      <c r="K92" s="1612"/>
      <c r="L92" s="1991"/>
      <c r="M92" s="1721">
        <f t="shared" si="42"/>
        <v>1</v>
      </c>
      <c r="Q92" s="1722" t="s">
        <v>1531</v>
      </c>
      <c r="R92" s="1723" t="s">
        <v>1532</v>
      </c>
      <c r="S92" s="2062">
        <f>スコア!M92</f>
        <v>2</v>
      </c>
      <c r="T92" s="1724">
        <f t="shared" si="43"/>
        <v>1</v>
      </c>
      <c r="U92" s="1724">
        <f t="shared" si="44"/>
        <v>1</v>
      </c>
      <c r="V92" s="2091" t="b">
        <v>0</v>
      </c>
      <c r="Y92" s="1935"/>
      <c r="Z92" s="1712"/>
      <c r="AA92" s="1713"/>
      <c r="AB92" s="3156"/>
      <c r="AC92" s="1725"/>
      <c r="AD92" s="1713"/>
    </row>
    <row r="93" spans="1:30" ht="27.6" customHeight="1">
      <c r="A93" s="1664"/>
      <c r="B93" s="1934"/>
      <c r="C93" s="3151"/>
      <c r="D93" s="3154"/>
      <c r="E93" s="1726" t="s">
        <v>1533</v>
      </c>
      <c r="F93" s="1716" t="s">
        <v>1534</v>
      </c>
      <c r="G93" s="1717" t="s">
        <v>1535</v>
      </c>
      <c r="H93" s="1736" t="str">
        <f t="shared" si="39"/>
        <v/>
      </c>
      <c r="I93" s="1719" t="str">
        <f t="shared" si="40"/>
        <v/>
      </c>
      <c r="J93" s="1719" t="str">
        <f t="shared" si="41"/>
        <v>●</v>
      </c>
      <c r="K93" s="1612"/>
      <c r="L93" s="1991"/>
      <c r="M93" s="1721">
        <f t="shared" si="42"/>
        <v>3</v>
      </c>
      <c r="Q93" s="1740" t="s">
        <v>1536</v>
      </c>
      <c r="R93" s="1741" t="s">
        <v>1537</v>
      </c>
      <c r="S93" s="2063">
        <f>スコア!M94</f>
        <v>5</v>
      </c>
      <c r="T93" s="1742">
        <f t="shared" si="43"/>
        <v>3</v>
      </c>
      <c r="U93" s="1742">
        <f t="shared" si="44"/>
        <v>3</v>
      </c>
      <c r="V93" s="2092" t="b">
        <v>0</v>
      </c>
      <c r="Y93" s="1935"/>
      <c r="Z93" s="1712"/>
      <c r="AA93" s="1713"/>
      <c r="AB93" s="3157"/>
      <c r="AC93" s="1753"/>
      <c r="AD93" s="1754"/>
    </row>
    <row r="94" spans="1:30" ht="20.100000000000001" customHeight="1">
      <c r="A94" s="1664"/>
      <c r="B94" s="1934"/>
      <c r="C94" s="1936" t="s">
        <v>1538</v>
      </c>
      <c r="D94" s="1937"/>
      <c r="E94" s="1938"/>
      <c r="F94" s="1831"/>
      <c r="G94" s="1837"/>
      <c r="H94" s="1939"/>
      <c r="I94" s="1939"/>
      <c r="J94" s="1939"/>
      <c r="K94" s="2030"/>
      <c r="L94" s="2023"/>
      <c r="M94" s="1843"/>
      <c r="Q94" s="1786"/>
      <c r="S94" s="2060"/>
      <c r="T94" s="1787"/>
      <c r="U94" s="1787"/>
      <c r="V94" s="2082"/>
      <c r="Y94" s="1935"/>
      <c r="Z94" s="1712"/>
      <c r="AA94" s="1713"/>
      <c r="AB94" s="1783" t="str">
        <f>C94</f>
        <v>【居住時における資源の有効利用】</v>
      </c>
      <c r="AC94" s="1788"/>
      <c r="AD94" s="1789"/>
    </row>
    <row r="95" spans="1:30" ht="27.6" customHeight="1">
      <c r="A95" s="1664"/>
      <c r="B95" s="1934"/>
      <c r="C95" s="3178" t="s">
        <v>1539</v>
      </c>
      <c r="D95" s="3170" t="s">
        <v>1540</v>
      </c>
      <c r="E95" s="1816" t="s">
        <v>1541</v>
      </c>
      <c r="F95" s="1817" t="s">
        <v>1542</v>
      </c>
      <c r="G95" s="1756" t="s">
        <v>1543</v>
      </c>
      <c r="H95" s="1829" t="str">
        <f t="shared" ref="H95:H99" si="45">IF(T95=1,"●","")</f>
        <v/>
      </c>
      <c r="I95" s="1940" t="str">
        <f t="shared" ref="I95:I99" si="46">IF(T95=2,"●","")</f>
        <v/>
      </c>
      <c r="J95" s="1940" t="str">
        <f t="shared" ref="J95:J99" si="47">IF(T95=3,"●","")</f>
        <v>●</v>
      </c>
      <c r="K95" s="1627"/>
      <c r="L95" s="1628"/>
      <c r="M95" s="1802">
        <f t="shared" ref="M95:M100" si="48">U95</f>
        <v>3</v>
      </c>
      <c r="Q95" s="1709" t="s">
        <v>1327</v>
      </c>
      <c r="R95" s="1710" t="s">
        <v>1328</v>
      </c>
      <c r="S95" s="2057">
        <f>スコア!M74</f>
        <v>4</v>
      </c>
      <c r="T95" s="1711">
        <f>IF(S95=0,"",IF(S95&lt;=S$7,1,IF(S95&lt;U$7,2,IF(S95&gt;=U$7,3,""))))</f>
        <v>3</v>
      </c>
      <c r="U95" s="1711">
        <f t="shared" ref="U95:U100" si="49">IF(T95="","",IF(T95=3,3,IF(V95=TRUE,T95+1,T95)))</f>
        <v>3</v>
      </c>
      <c r="V95" s="2090" t="b">
        <v>0</v>
      </c>
      <c r="Y95" s="1935"/>
      <c r="Z95" s="1712"/>
      <c r="AA95" s="1713"/>
      <c r="AB95" s="3165" t="s">
        <v>1539</v>
      </c>
      <c r="AC95" s="1714">
        <f>IFERROR(AVERAGE(M95:M97),"")</f>
        <v>2.3333333333333335</v>
      </c>
      <c r="AD95" s="1699">
        <f>COUNTA(E95:E97)</f>
        <v>3</v>
      </c>
    </row>
    <row r="96" spans="1:30" ht="27.6" customHeight="1">
      <c r="A96" s="1664"/>
      <c r="B96" s="1934"/>
      <c r="C96" s="3150"/>
      <c r="D96" s="3153"/>
      <c r="E96" s="1715" t="s">
        <v>1544</v>
      </c>
      <c r="F96" s="1716" t="s">
        <v>1545</v>
      </c>
      <c r="G96" s="1717" t="s">
        <v>1546</v>
      </c>
      <c r="H96" s="1790" t="str">
        <f t="shared" si="45"/>
        <v/>
      </c>
      <c r="I96" s="1941" t="str">
        <f t="shared" si="46"/>
        <v>●</v>
      </c>
      <c r="J96" s="1941" t="str">
        <f t="shared" si="47"/>
        <v/>
      </c>
      <c r="K96" s="1612"/>
      <c r="L96" s="1991"/>
      <c r="M96" s="1721">
        <f t="shared" si="48"/>
        <v>2</v>
      </c>
      <c r="Q96" s="1722" t="s">
        <v>1332</v>
      </c>
      <c r="R96" s="1723" t="s">
        <v>1333</v>
      </c>
      <c r="S96" s="2062">
        <f>スコア!M75</f>
        <v>3</v>
      </c>
      <c r="T96" s="1724">
        <f>IF(S96=0,"",IF(S96&lt;=S$7,1,IF(S96&lt;U$7,2,IF(S96&gt;=U$7,3,""))))</f>
        <v>2</v>
      </c>
      <c r="U96" s="1724">
        <f t="shared" si="49"/>
        <v>2</v>
      </c>
      <c r="V96" s="2091" t="b">
        <v>0</v>
      </c>
      <c r="Y96" s="1935"/>
      <c r="Z96" s="1712"/>
      <c r="AA96" s="1713"/>
      <c r="AB96" s="3156"/>
      <c r="AC96" s="1725"/>
      <c r="AD96" s="1713"/>
    </row>
    <row r="97" spans="1:30" ht="27.6" customHeight="1">
      <c r="A97" s="1664"/>
      <c r="B97" s="1942"/>
      <c r="C97" s="3151"/>
      <c r="D97" s="3154"/>
      <c r="E97" s="1733" t="s">
        <v>1547</v>
      </c>
      <c r="F97" s="1734" t="s">
        <v>1548</v>
      </c>
      <c r="G97" s="1735" t="s">
        <v>1549</v>
      </c>
      <c r="H97" s="1943" t="str">
        <f t="shared" si="45"/>
        <v/>
      </c>
      <c r="I97" s="1944" t="str">
        <f t="shared" si="46"/>
        <v>●</v>
      </c>
      <c r="J97" s="1944" t="str">
        <f t="shared" si="47"/>
        <v/>
      </c>
      <c r="K97" s="1992"/>
      <c r="L97" s="1993"/>
      <c r="M97" s="1739">
        <f t="shared" si="48"/>
        <v>2</v>
      </c>
      <c r="Q97" s="1740" t="s">
        <v>1550</v>
      </c>
      <c r="R97" s="1741" t="s">
        <v>1551</v>
      </c>
      <c r="S97" s="2063">
        <f>スコア!M78</f>
        <v>3</v>
      </c>
      <c r="T97" s="1742">
        <f>IF(S97=0,"",IF(S97&lt;=S$7,1,IF(S97&lt;U$7,2,IF(S97&gt;=U$7,3,""))))</f>
        <v>2</v>
      </c>
      <c r="U97" s="1742">
        <f t="shared" si="49"/>
        <v>2</v>
      </c>
      <c r="V97" s="2092" t="b">
        <v>0</v>
      </c>
      <c r="Y97" s="1945"/>
      <c r="Z97" s="1813"/>
      <c r="AA97" s="1754"/>
      <c r="AB97" s="3157"/>
      <c r="AC97" s="1753"/>
      <c r="AD97" s="1754"/>
    </row>
    <row r="98" spans="1:30" ht="27.6" customHeight="1">
      <c r="A98" s="1700"/>
      <c r="B98" s="1946" t="s">
        <v>1552</v>
      </c>
      <c r="C98" s="1768" t="s">
        <v>1553</v>
      </c>
      <c r="D98" s="1769" t="s">
        <v>1554</v>
      </c>
      <c r="E98" s="1770" t="s">
        <v>1555</v>
      </c>
      <c r="F98" s="1771" t="s">
        <v>1556</v>
      </c>
      <c r="G98" s="1930" t="s">
        <v>1557</v>
      </c>
      <c r="H98" s="1773" t="str">
        <f t="shared" si="45"/>
        <v/>
      </c>
      <c r="I98" s="1774" t="str">
        <f t="shared" si="46"/>
        <v/>
      </c>
      <c r="J98" s="1774" t="str">
        <f t="shared" si="47"/>
        <v>●</v>
      </c>
      <c r="K98" s="1988"/>
      <c r="L98" s="1989"/>
      <c r="M98" s="1811">
        <f t="shared" si="48"/>
        <v>3</v>
      </c>
      <c r="Q98" s="1776" t="s">
        <v>1558</v>
      </c>
      <c r="R98" s="1777" t="s">
        <v>261</v>
      </c>
      <c r="S98" s="2059">
        <f>スコア!M97</f>
        <v>4</v>
      </c>
      <c r="T98" s="2459">
        <f>IF(S98=0,"",IF(S98&lt;3,1,IF(S98&lt;4,2,IF(S98&gt;=4,3,""))))</f>
        <v>3</v>
      </c>
      <c r="U98" s="1778">
        <f t="shared" si="49"/>
        <v>3</v>
      </c>
      <c r="V98" s="2081" t="b">
        <v>0</v>
      </c>
      <c r="Y98" s="3209"/>
      <c r="Z98" s="1712">
        <f>AVERAGE(AC98:AC100)</f>
        <v>2.5</v>
      </c>
      <c r="AA98" s="1713">
        <f>COUNTA(AD98:AD100)</f>
        <v>2</v>
      </c>
      <c r="AB98" s="1814" t="s">
        <v>1553</v>
      </c>
      <c r="AC98" s="1714">
        <f>IFERROR(AVERAGE(M98),"")</f>
        <v>3</v>
      </c>
      <c r="AD98" s="1815">
        <f>COUNTA(E98)</f>
        <v>1</v>
      </c>
    </row>
    <row r="99" spans="1:30" ht="27.6" customHeight="1">
      <c r="A99" s="1664"/>
      <c r="B99" s="1947"/>
      <c r="C99" s="3178" t="s">
        <v>1559</v>
      </c>
      <c r="D99" s="3170" t="s">
        <v>1560</v>
      </c>
      <c r="E99" s="1701" t="s">
        <v>1561</v>
      </c>
      <c r="F99" s="1820" t="s">
        <v>1562</v>
      </c>
      <c r="G99" s="515" t="s">
        <v>1563</v>
      </c>
      <c r="H99" s="1728" t="str">
        <f t="shared" si="45"/>
        <v/>
      </c>
      <c r="I99" s="1729" t="str">
        <f t="shared" si="46"/>
        <v/>
      </c>
      <c r="J99" s="1729" t="str">
        <f t="shared" si="47"/>
        <v>●</v>
      </c>
      <c r="K99" s="1611"/>
      <c r="L99" s="1996"/>
      <c r="M99" s="1731">
        <f t="shared" si="48"/>
        <v>3</v>
      </c>
      <c r="Q99" s="1709" t="s">
        <v>1564</v>
      </c>
      <c r="R99" s="1710" t="s">
        <v>1565</v>
      </c>
      <c r="S99" s="2057">
        <f>スコア!M103</f>
        <v>5</v>
      </c>
      <c r="T99" s="1711">
        <f>IF(S99=0,"",IF(S99&lt;=S$7,1,IF(S99&lt;U$7,2,IF(S99&gt;=U$7,3,""))))</f>
        <v>3</v>
      </c>
      <c r="U99" s="1711">
        <f t="shared" si="49"/>
        <v>3</v>
      </c>
      <c r="V99" s="2090" t="b">
        <v>0</v>
      </c>
      <c r="Y99" s="3209"/>
      <c r="Z99" s="1712"/>
      <c r="AA99" s="1713"/>
      <c r="AB99" s="1917" t="s">
        <v>1559</v>
      </c>
      <c r="AC99" s="1714">
        <f>IFERROR(AVERAGE(M99:M100),"")</f>
        <v>2</v>
      </c>
      <c r="AD99" s="1699">
        <f>COUNTA(E99:E100)</f>
        <v>2</v>
      </c>
    </row>
    <row r="100" spans="1:30" ht="134.25" customHeight="1">
      <c r="A100" s="1664"/>
      <c r="B100" s="1948"/>
      <c r="C100" s="3151"/>
      <c r="D100" s="3154"/>
      <c r="E100" s="1890" t="s">
        <v>1567</v>
      </c>
      <c r="F100" s="1827" t="s">
        <v>1566</v>
      </c>
      <c r="G100" s="1735" t="s">
        <v>1568</v>
      </c>
      <c r="H100" s="2012"/>
      <c r="I100" s="2014"/>
      <c r="J100" s="1630"/>
      <c r="K100" s="1992"/>
      <c r="L100" s="1993"/>
      <c r="M100" s="2024">
        <f t="shared" si="48"/>
        <v>1</v>
      </c>
      <c r="Q100" s="1871"/>
      <c r="R100" s="1872"/>
      <c r="S100" s="2069">
        <v>1</v>
      </c>
      <c r="T100" s="1742">
        <f>IF(S100=0,"",IF(S100=4,"",S100))</f>
        <v>1</v>
      </c>
      <c r="U100" s="1742">
        <f t="shared" si="49"/>
        <v>1</v>
      </c>
      <c r="V100" s="2089" t="b">
        <v>0</v>
      </c>
      <c r="Y100" s="1949"/>
      <c r="Z100" s="1712"/>
      <c r="AA100" s="1713"/>
      <c r="AB100" s="1891"/>
      <c r="AC100" s="1753"/>
      <c r="AD100" s="1754"/>
    </row>
    <row r="101" spans="1:30" ht="90.75" customHeight="1">
      <c r="A101" s="1664"/>
      <c r="B101" s="1950" t="s">
        <v>1569</v>
      </c>
      <c r="C101" s="1895" t="s">
        <v>1570</v>
      </c>
      <c r="D101" s="1896"/>
      <c r="E101" s="1951"/>
      <c r="F101" s="1952"/>
      <c r="G101" s="1953"/>
      <c r="H101" s="1954"/>
      <c r="I101" s="1954"/>
      <c r="J101" s="1954"/>
      <c r="K101" s="1955"/>
      <c r="L101" s="1956"/>
      <c r="M101" s="1957"/>
      <c r="Q101" s="1958"/>
      <c r="R101" s="1959"/>
      <c r="S101" s="2072"/>
      <c r="T101" s="1960"/>
      <c r="U101" s="1960"/>
      <c r="V101" s="2081"/>
      <c r="Y101" s="1961" t="s">
        <v>1569</v>
      </c>
      <c r="Z101" s="1906"/>
      <c r="AA101" s="1907"/>
      <c r="AB101" s="1908"/>
      <c r="AC101" s="1909"/>
      <c r="AD101" s="1907"/>
    </row>
    <row r="102" spans="1:30" ht="27.6" customHeight="1">
      <c r="A102" s="1828"/>
      <c r="B102" s="1962" t="s">
        <v>1571</v>
      </c>
      <c r="C102" s="3178" t="s">
        <v>1572</v>
      </c>
      <c r="D102" s="3170" t="s">
        <v>1573</v>
      </c>
      <c r="E102" s="1846" t="s">
        <v>1574</v>
      </c>
      <c r="F102" s="1847" t="s">
        <v>1462</v>
      </c>
      <c r="G102" s="1831" t="s">
        <v>1575</v>
      </c>
      <c r="H102" s="1849" t="str">
        <f t="shared" ref="H102:H103" si="50">IF(T102=1,"●","")</f>
        <v>●</v>
      </c>
      <c r="I102" s="1850" t="str">
        <f t="shared" ref="I102:I103" si="51">IF(T102=2,"●","")</f>
        <v/>
      </c>
      <c r="J102" s="1850" t="str">
        <f t="shared" ref="J102:J103" si="52">IF(T102=3,"●","")</f>
        <v/>
      </c>
      <c r="K102" s="1631"/>
      <c r="L102" s="1632"/>
      <c r="M102" s="1851">
        <f t="shared" ref="M102:M105" si="53">U102</f>
        <v>1</v>
      </c>
      <c r="Q102" s="1709" t="s">
        <v>1464</v>
      </c>
      <c r="R102" s="1710" t="s">
        <v>1465</v>
      </c>
      <c r="S102" s="2057">
        <f>スコア!M63</f>
        <v>2</v>
      </c>
      <c r="T102" s="1711">
        <f>IF(S102=0,"",IF(S102&lt;=S$7,1,IF(S102&lt;U$7,2,IF(S102&gt;=U$7,3,""))))</f>
        <v>1</v>
      </c>
      <c r="U102" s="1711">
        <f t="shared" ref="U102:U105" si="54">IF(T102="","",IF(T102=3,3,IF(V102=TRUE,T102+1,T102)))</f>
        <v>1</v>
      </c>
      <c r="V102" s="2090" t="b">
        <v>0</v>
      </c>
      <c r="Y102" s="1963" t="s">
        <v>1571</v>
      </c>
      <c r="Z102" s="1712">
        <f>AVERAGE(AC102:AC105)</f>
        <v>1.1666666666666665</v>
      </c>
      <c r="AA102" s="1713">
        <f>COUNTA(AD102:AD105)</f>
        <v>2</v>
      </c>
      <c r="AB102" s="3156" t="s">
        <v>1572</v>
      </c>
      <c r="AC102" s="1714">
        <f>IFERROR(AVERAGE(M102:M104),"")</f>
        <v>1.3333333333333333</v>
      </c>
      <c r="AD102" s="1713">
        <f>COUNTA(E102:E104)</f>
        <v>3</v>
      </c>
    </row>
    <row r="103" spans="1:30" ht="27.6" customHeight="1">
      <c r="A103" s="1664"/>
      <c r="B103" s="1964"/>
      <c r="C103" s="3150"/>
      <c r="D103" s="3153"/>
      <c r="E103" s="1715" t="s">
        <v>1576</v>
      </c>
      <c r="F103" s="1716" t="s">
        <v>1467</v>
      </c>
      <c r="G103" s="1965" t="s">
        <v>1577</v>
      </c>
      <c r="H103" s="1718" t="str">
        <f t="shared" si="50"/>
        <v/>
      </c>
      <c r="I103" s="1719" t="str">
        <f t="shared" si="51"/>
        <v>●</v>
      </c>
      <c r="J103" s="1719" t="str">
        <f t="shared" si="52"/>
        <v/>
      </c>
      <c r="K103" s="1612"/>
      <c r="L103" s="1991"/>
      <c r="M103" s="1721">
        <f t="shared" si="53"/>
        <v>2</v>
      </c>
      <c r="Q103" s="1722" t="s">
        <v>1469</v>
      </c>
      <c r="R103" s="1723" t="s">
        <v>1470</v>
      </c>
      <c r="S103" s="2062">
        <f>スコア!M64</f>
        <v>3</v>
      </c>
      <c r="T103" s="1724">
        <f>IF(S103=0,"",IF(S103&lt;=S$7,1,IF(S103&lt;U$7,2,IF(S103&gt;=U$7,3,""))))</f>
        <v>2</v>
      </c>
      <c r="U103" s="1724">
        <f t="shared" si="54"/>
        <v>2</v>
      </c>
      <c r="V103" s="2091" t="b">
        <v>0</v>
      </c>
      <c r="Y103" s="1963"/>
      <c r="Z103" s="1712"/>
      <c r="AA103" s="1713"/>
      <c r="AB103" s="3156"/>
      <c r="AC103" s="1725"/>
      <c r="AD103" s="1713"/>
    </row>
    <row r="104" spans="1:30" ht="141.75" customHeight="1">
      <c r="A104" s="1664"/>
      <c r="B104" s="1964"/>
      <c r="C104" s="3151"/>
      <c r="D104" s="3154"/>
      <c r="E104" s="1733" t="s">
        <v>1578</v>
      </c>
      <c r="F104" s="1734" t="s">
        <v>1337</v>
      </c>
      <c r="G104" s="1858" t="s">
        <v>1579</v>
      </c>
      <c r="H104" s="2012"/>
      <c r="I104" s="2014"/>
      <c r="J104" s="1630"/>
      <c r="K104" s="1992"/>
      <c r="L104" s="1993"/>
      <c r="M104" s="2024">
        <f t="shared" si="53"/>
        <v>1</v>
      </c>
      <c r="Q104" s="1871"/>
      <c r="R104" s="1872"/>
      <c r="S104" s="2069">
        <v>1</v>
      </c>
      <c r="T104" s="1742">
        <f>IF(S104=0,"",IF(S104=4,"",S104))</f>
        <v>1</v>
      </c>
      <c r="U104" s="1742">
        <f t="shared" si="54"/>
        <v>1</v>
      </c>
      <c r="V104" s="2089" t="b">
        <v>0</v>
      </c>
      <c r="Y104" s="1963"/>
      <c r="Z104" s="1712"/>
      <c r="AA104" s="1713"/>
      <c r="AB104" s="3156"/>
      <c r="AC104" s="1725"/>
      <c r="AD104" s="1713"/>
    </row>
    <row r="105" spans="1:30" ht="130.5" customHeight="1">
      <c r="A105" s="1664"/>
      <c r="B105" s="1964"/>
      <c r="C105" s="1768" t="s">
        <v>1580</v>
      </c>
      <c r="D105" s="1769" t="s">
        <v>1581</v>
      </c>
      <c r="E105" s="1770" t="s">
        <v>1582</v>
      </c>
      <c r="F105" s="1966" t="s">
        <v>1583</v>
      </c>
      <c r="G105" s="1772" t="s">
        <v>1584</v>
      </c>
      <c r="H105" s="2012"/>
      <c r="I105" s="2014"/>
      <c r="J105" s="1630"/>
      <c r="K105" s="1988"/>
      <c r="L105" s="1994"/>
      <c r="M105" s="2024">
        <f t="shared" si="53"/>
        <v>1</v>
      </c>
      <c r="Q105" s="1859"/>
      <c r="R105" s="1860"/>
      <c r="S105" s="2067">
        <v>1</v>
      </c>
      <c r="T105" s="1778">
        <f>IF(S105=0,"",IF(S105=4,"",S105))</f>
        <v>1</v>
      </c>
      <c r="U105" s="1778">
        <f t="shared" si="54"/>
        <v>1</v>
      </c>
      <c r="V105" s="2087" t="b">
        <v>0</v>
      </c>
      <c r="Y105" s="1963"/>
      <c r="Z105" s="1712"/>
      <c r="AA105" s="1713"/>
      <c r="AB105" s="1917" t="s">
        <v>1580</v>
      </c>
      <c r="AC105" s="1714">
        <f>IFERROR(AVERAGE(M105),"")</f>
        <v>1</v>
      </c>
      <c r="AD105" s="1699">
        <f>COUNTA(E105)</f>
        <v>1</v>
      </c>
    </row>
    <row r="106" spans="1:30" ht="90.75" customHeight="1">
      <c r="A106" s="1967"/>
      <c r="B106" s="1968" t="s">
        <v>1585</v>
      </c>
      <c r="C106" s="1895" t="s">
        <v>1586</v>
      </c>
      <c r="D106" s="1896"/>
      <c r="E106" s="1897"/>
      <c r="F106" s="1969"/>
      <c r="G106" s="1953"/>
      <c r="H106" s="1954"/>
      <c r="I106" s="1954"/>
      <c r="J106" s="1954"/>
      <c r="K106" s="1955"/>
      <c r="L106" s="1956"/>
      <c r="M106" s="1957"/>
      <c r="Q106" s="1958"/>
      <c r="R106" s="1959"/>
      <c r="S106" s="2072"/>
      <c r="T106" s="1960"/>
      <c r="U106" s="1960"/>
      <c r="V106" s="2081"/>
      <c r="Y106" s="1970" t="s">
        <v>1585</v>
      </c>
      <c r="Z106" s="1906"/>
      <c r="AA106" s="1907"/>
      <c r="AB106" s="1908"/>
      <c r="AC106" s="1909"/>
      <c r="AD106" s="1907"/>
    </row>
    <row r="107" spans="1:30" ht="147" customHeight="1">
      <c r="A107" s="1828"/>
      <c r="B107" s="1971" t="s">
        <v>1587</v>
      </c>
      <c r="C107" s="1768" t="s">
        <v>1588</v>
      </c>
      <c r="D107" s="1769" t="s">
        <v>1589</v>
      </c>
      <c r="E107" s="1770" t="s">
        <v>1590</v>
      </c>
      <c r="F107" s="1966" t="s">
        <v>1591</v>
      </c>
      <c r="G107" s="1772" t="s">
        <v>1592</v>
      </c>
      <c r="H107" s="2012"/>
      <c r="I107" s="2013"/>
      <c r="J107" s="2013"/>
      <c r="K107" s="1988"/>
      <c r="L107" s="1989"/>
      <c r="M107" s="2024">
        <f t="shared" ref="M107:M115" si="55">U107</f>
        <v>1</v>
      </c>
      <c r="Q107" s="1859"/>
      <c r="R107" s="1860"/>
      <c r="S107" s="2067">
        <v>1</v>
      </c>
      <c r="T107" s="1778">
        <f>IF(S107=0,"",IF(S107=4,"",S107))</f>
        <v>1</v>
      </c>
      <c r="U107" s="1778">
        <f t="shared" ref="U107:U115" si="56">IF(T107="","",IF(T107=3,3,IF(V107=TRUE,T107+1,T107)))</f>
        <v>1</v>
      </c>
      <c r="V107" s="2087" t="b">
        <v>0</v>
      </c>
      <c r="Y107" s="1972" t="s">
        <v>1587</v>
      </c>
      <c r="Z107" s="1712">
        <f>AVERAGE(AC107:AC115)</f>
        <v>1.8125</v>
      </c>
      <c r="AA107" s="1713">
        <f>COUNTA(AD107:AD115)</f>
        <v>2</v>
      </c>
      <c r="AB107" s="1973" t="s">
        <v>1588</v>
      </c>
      <c r="AC107" s="1714">
        <f>IFERROR(AVERAGE(M107),"")</f>
        <v>1</v>
      </c>
      <c r="AD107" s="1754">
        <f>COUNTA(E107)</f>
        <v>1</v>
      </c>
    </row>
    <row r="108" spans="1:30" ht="27.6" customHeight="1">
      <c r="A108" s="1664"/>
      <c r="B108" s="1974"/>
      <c r="C108" s="1975" t="s">
        <v>1593</v>
      </c>
      <c r="D108" s="1976" t="s">
        <v>1594</v>
      </c>
      <c r="E108" s="1819" t="s">
        <v>1595</v>
      </c>
      <c r="F108" s="1702" t="s">
        <v>1596</v>
      </c>
      <c r="G108" s="1703" t="s">
        <v>1597</v>
      </c>
      <c r="H108" s="1744" t="str">
        <f t="shared" ref="H108:H115" si="57">IF(T108=1,"●","")</f>
        <v/>
      </c>
      <c r="I108" s="1875" t="str">
        <f t="shared" ref="I108:I115" si="58">IF(T108=2,"●","")</f>
        <v/>
      </c>
      <c r="J108" s="1875" t="str">
        <f t="shared" ref="J108:J115" si="59">IF(T108=3,"●","")</f>
        <v>●</v>
      </c>
      <c r="K108" s="1613"/>
      <c r="L108" s="1990"/>
      <c r="M108" s="1747">
        <f t="shared" si="55"/>
        <v>3</v>
      </c>
      <c r="Q108" s="1709" t="s">
        <v>1460</v>
      </c>
      <c r="R108" s="1710" t="s">
        <v>1454</v>
      </c>
      <c r="S108" s="2057">
        <f>スコア!M61</f>
        <v>5</v>
      </c>
      <c r="T108" s="1711">
        <f t="shared" ref="T108:T115" si="60">IF(S108=0,"",IF(S108&lt;=S$7,1,IF(S108&lt;U$7,2,IF(S108&gt;=U$7,3,""))))</f>
        <v>3</v>
      </c>
      <c r="U108" s="1711">
        <f t="shared" si="56"/>
        <v>3</v>
      </c>
      <c r="V108" s="2090" t="b">
        <v>0</v>
      </c>
      <c r="Y108" s="1977"/>
      <c r="Z108" s="1712"/>
      <c r="AA108" s="1713"/>
      <c r="AB108" s="1978" t="s">
        <v>1593</v>
      </c>
      <c r="AC108" s="1714">
        <f>IFERROR(AVERAGE(M108:M115),"")</f>
        <v>2.625</v>
      </c>
      <c r="AD108" s="1713">
        <f>COUNTA(E108:E115)</f>
        <v>8</v>
      </c>
    </row>
    <row r="109" spans="1:30" ht="27.6" customHeight="1">
      <c r="A109" s="1664"/>
      <c r="B109" s="1974"/>
      <c r="C109" s="1975"/>
      <c r="D109" s="1976"/>
      <c r="E109" s="1715" t="s">
        <v>1598</v>
      </c>
      <c r="F109" s="1716" t="s">
        <v>1599</v>
      </c>
      <c r="G109" s="1717" t="s">
        <v>1600</v>
      </c>
      <c r="H109" s="1718" t="str">
        <f t="shared" si="57"/>
        <v>●</v>
      </c>
      <c r="I109" s="1873" t="str">
        <f t="shared" si="58"/>
        <v/>
      </c>
      <c r="J109" s="1873" t="str">
        <f t="shared" si="59"/>
        <v/>
      </c>
      <c r="K109" s="1612"/>
      <c r="L109" s="1991"/>
      <c r="M109" s="1721">
        <f t="shared" si="55"/>
        <v>1</v>
      </c>
      <c r="Q109" s="1722" t="s">
        <v>1464</v>
      </c>
      <c r="R109" s="1723" t="s">
        <v>1465</v>
      </c>
      <c r="S109" s="2062">
        <f>スコア!M63</f>
        <v>2</v>
      </c>
      <c r="T109" s="1724">
        <f t="shared" si="60"/>
        <v>1</v>
      </c>
      <c r="U109" s="1724">
        <f t="shared" si="56"/>
        <v>1</v>
      </c>
      <c r="V109" s="2091" t="b">
        <v>0</v>
      </c>
      <c r="Y109" s="1977"/>
      <c r="Z109" s="1712"/>
      <c r="AA109" s="1713"/>
      <c r="AB109" s="1978"/>
      <c r="AC109" s="1725"/>
      <c r="AD109" s="1713"/>
    </row>
    <row r="110" spans="1:30" ht="27.6" customHeight="1">
      <c r="A110" s="1664"/>
      <c r="B110" s="1974"/>
      <c r="C110" s="1975"/>
      <c r="D110" s="1976"/>
      <c r="E110" s="1715" t="s">
        <v>1601</v>
      </c>
      <c r="F110" s="1716" t="s">
        <v>1467</v>
      </c>
      <c r="G110" s="1717" t="s">
        <v>1577</v>
      </c>
      <c r="H110" s="1718" t="str">
        <f t="shared" si="57"/>
        <v/>
      </c>
      <c r="I110" s="1873" t="str">
        <f t="shared" si="58"/>
        <v>●</v>
      </c>
      <c r="J110" s="1873" t="str">
        <f t="shared" si="59"/>
        <v/>
      </c>
      <c r="K110" s="1612"/>
      <c r="L110" s="1991"/>
      <c r="M110" s="1721">
        <f t="shared" si="55"/>
        <v>2</v>
      </c>
      <c r="Q110" s="1722" t="s">
        <v>1469</v>
      </c>
      <c r="R110" s="1723" t="s">
        <v>1470</v>
      </c>
      <c r="S110" s="2062">
        <f>スコア!M64</f>
        <v>3</v>
      </c>
      <c r="T110" s="1724">
        <f t="shared" si="60"/>
        <v>2</v>
      </c>
      <c r="U110" s="1724">
        <f t="shared" si="56"/>
        <v>2</v>
      </c>
      <c r="V110" s="2091" t="b">
        <v>0</v>
      </c>
      <c r="Y110" s="1977"/>
      <c r="Z110" s="1712"/>
      <c r="AA110" s="1713"/>
      <c r="AB110" s="1978"/>
      <c r="AC110" s="1725"/>
      <c r="AD110" s="1713"/>
    </row>
    <row r="111" spans="1:30" ht="27.6" customHeight="1">
      <c r="A111" s="1664"/>
      <c r="B111" s="1974"/>
      <c r="C111" s="1975"/>
      <c r="D111" s="1976"/>
      <c r="E111" s="1715" t="s">
        <v>1602</v>
      </c>
      <c r="F111" s="1716" t="s">
        <v>1603</v>
      </c>
      <c r="G111" s="1717" t="s">
        <v>1604</v>
      </c>
      <c r="H111" s="1718" t="str">
        <f t="shared" si="57"/>
        <v/>
      </c>
      <c r="I111" s="1873" t="str">
        <f t="shared" si="58"/>
        <v/>
      </c>
      <c r="J111" s="1873" t="str">
        <f t="shared" si="59"/>
        <v>●</v>
      </c>
      <c r="K111" s="1612"/>
      <c r="L111" s="1991"/>
      <c r="M111" s="1721">
        <f t="shared" si="55"/>
        <v>3</v>
      </c>
      <c r="Q111" s="1722" t="s">
        <v>1605</v>
      </c>
      <c r="R111" s="1723" t="s">
        <v>79</v>
      </c>
      <c r="S111" s="2062">
        <f>スコア!M100</f>
        <v>4</v>
      </c>
      <c r="T111" s="1724">
        <f t="shared" si="60"/>
        <v>3</v>
      </c>
      <c r="U111" s="1724">
        <f t="shared" si="56"/>
        <v>3</v>
      </c>
      <c r="V111" s="2091" t="b">
        <v>0</v>
      </c>
      <c r="Y111" s="1977"/>
      <c r="Z111" s="1712"/>
      <c r="AA111" s="1713"/>
      <c r="AB111" s="1978"/>
      <c r="AC111" s="1725"/>
      <c r="AD111" s="1713"/>
    </row>
    <row r="112" spans="1:30" ht="27.6" customHeight="1">
      <c r="A112" s="1664"/>
      <c r="B112" s="1974"/>
      <c r="C112" s="1975"/>
      <c r="D112" s="1976"/>
      <c r="E112" s="1715" t="s">
        <v>1606</v>
      </c>
      <c r="F112" s="1716" t="s">
        <v>1607</v>
      </c>
      <c r="G112" s="1717" t="s">
        <v>1608</v>
      </c>
      <c r="H112" s="1718" t="str">
        <f t="shared" si="57"/>
        <v/>
      </c>
      <c r="I112" s="1873" t="str">
        <f t="shared" si="58"/>
        <v/>
      </c>
      <c r="J112" s="1873" t="str">
        <f t="shared" si="59"/>
        <v>●</v>
      </c>
      <c r="K112" s="1612"/>
      <c r="L112" s="1991"/>
      <c r="M112" s="1721">
        <f t="shared" si="55"/>
        <v>3</v>
      </c>
      <c r="Q112" s="1722" t="s">
        <v>1481</v>
      </c>
      <c r="R112" s="1723" t="s">
        <v>1482</v>
      </c>
      <c r="S112" s="2062">
        <f>スコア!M65</f>
        <v>5</v>
      </c>
      <c r="T112" s="1724">
        <f t="shared" si="60"/>
        <v>3</v>
      </c>
      <c r="U112" s="1724">
        <f t="shared" si="56"/>
        <v>3</v>
      </c>
      <c r="V112" s="2091" t="b">
        <v>0</v>
      </c>
      <c r="Y112" s="1977"/>
      <c r="Z112" s="1712"/>
      <c r="AA112" s="1713"/>
      <c r="AB112" s="1978"/>
      <c r="AC112" s="1725"/>
      <c r="AD112" s="1713"/>
    </row>
    <row r="113" spans="1:30" ht="27.6" customHeight="1">
      <c r="A113" s="1664"/>
      <c r="B113" s="1974"/>
      <c r="C113" s="1975"/>
      <c r="D113" s="1976"/>
      <c r="E113" s="1715" t="s">
        <v>1609</v>
      </c>
      <c r="F113" s="1716" t="s">
        <v>1610</v>
      </c>
      <c r="G113" s="1717" t="s">
        <v>1611</v>
      </c>
      <c r="H113" s="1718" t="str">
        <f t="shared" si="57"/>
        <v/>
      </c>
      <c r="I113" s="1873" t="str">
        <f t="shared" si="58"/>
        <v/>
      </c>
      <c r="J113" s="1873" t="str">
        <f t="shared" si="59"/>
        <v>●</v>
      </c>
      <c r="K113" s="1612"/>
      <c r="L113" s="1991"/>
      <c r="M113" s="1721">
        <f t="shared" si="55"/>
        <v>3</v>
      </c>
      <c r="Q113" s="1722" t="s">
        <v>1612</v>
      </c>
      <c r="R113" s="1723" t="s">
        <v>1613</v>
      </c>
      <c r="S113" s="2062">
        <f>スコア!M99</f>
        <v>4</v>
      </c>
      <c r="T113" s="1724">
        <f t="shared" si="60"/>
        <v>3</v>
      </c>
      <c r="U113" s="1724">
        <f t="shared" si="56"/>
        <v>3</v>
      </c>
      <c r="V113" s="2091" t="b">
        <v>0</v>
      </c>
      <c r="Y113" s="1977"/>
      <c r="Z113" s="1712"/>
      <c r="AA113" s="1713"/>
      <c r="AB113" s="1978"/>
      <c r="AC113" s="1725"/>
      <c r="AD113" s="1713"/>
    </row>
    <row r="114" spans="1:30" ht="27.6" customHeight="1">
      <c r="A114" s="1664"/>
      <c r="B114" s="1974"/>
      <c r="C114" s="1975"/>
      <c r="D114" s="1976"/>
      <c r="E114" s="1715" t="s">
        <v>1614</v>
      </c>
      <c r="F114" s="1716" t="s">
        <v>1615</v>
      </c>
      <c r="G114" s="1717" t="s">
        <v>1616</v>
      </c>
      <c r="H114" s="1718" t="str">
        <f t="shared" si="57"/>
        <v/>
      </c>
      <c r="I114" s="1873" t="str">
        <f t="shared" si="58"/>
        <v/>
      </c>
      <c r="J114" s="1873" t="str">
        <f t="shared" si="59"/>
        <v>●</v>
      </c>
      <c r="K114" s="1612"/>
      <c r="L114" s="1991"/>
      <c r="M114" s="1721">
        <f t="shared" si="55"/>
        <v>3</v>
      </c>
      <c r="Q114" s="1722" t="s">
        <v>1284</v>
      </c>
      <c r="R114" s="1723" t="s">
        <v>806</v>
      </c>
      <c r="S114" s="2062">
        <f>スコア!M102</f>
        <v>5</v>
      </c>
      <c r="T114" s="1724">
        <f t="shared" si="60"/>
        <v>3</v>
      </c>
      <c r="U114" s="1724">
        <f t="shared" si="56"/>
        <v>3</v>
      </c>
      <c r="V114" s="2091" t="b">
        <v>0</v>
      </c>
      <c r="Y114" s="1977"/>
      <c r="Z114" s="1712"/>
      <c r="AA114" s="1713"/>
      <c r="AB114" s="1978"/>
      <c r="AC114" s="1725"/>
      <c r="AD114" s="1713"/>
    </row>
    <row r="115" spans="1:30" ht="27.6" customHeight="1">
      <c r="A115" s="1664"/>
      <c r="B115" s="1979"/>
      <c r="C115" s="1980"/>
      <c r="D115" s="1981"/>
      <c r="E115" s="1733" t="s">
        <v>1617</v>
      </c>
      <c r="F115" s="1734" t="s">
        <v>1618</v>
      </c>
      <c r="G115" s="1735" t="s">
        <v>1619</v>
      </c>
      <c r="H115" s="1736" t="str">
        <f t="shared" si="57"/>
        <v/>
      </c>
      <c r="I115" s="1914" t="str">
        <f t="shared" si="58"/>
        <v/>
      </c>
      <c r="J115" s="1914" t="str">
        <f t="shared" si="59"/>
        <v>●</v>
      </c>
      <c r="K115" s="1992"/>
      <c r="L115" s="1993"/>
      <c r="M115" s="1739">
        <f t="shared" si="55"/>
        <v>3</v>
      </c>
      <c r="Q115" s="1740" t="s">
        <v>1564</v>
      </c>
      <c r="R115" s="1741" t="s">
        <v>1565</v>
      </c>
      <c r="S115" s="2063">
        <f>スコア!M103</f>
        <v>5</v>
      </c>
      <c r="T115" s="1742">
        <f t="shared" si="60"/>
        <v>3</v>
      </c>
      <c r="U115" s="1742">
        <f t="shared" si="56"/>
        <v>3</v>
      </c>
      <c r="V115" s="2092" t="b">
        <v>0</v>
      </c>
      <c r="Y115" s="1982"/>
      <c r="Z115" s="1813"/>
      <c r="AA115" s="1754"/>
      <c r="AB115" s="1983"/>
      <c r="AC115" s="1753"/>
      <c r="AD115" s="1754"/>
    </row>
    <row r="116" spans="1:30" ht="9" customHeight="1">
      <c r="K116" s="1984"/>
      <c r="L116" s="1707"/>
      <c r="M116" s="1707"/>
    </row>
    <row r="117" spans="1:30" ht="36.75" customHeight="1">
      <c r="A117" s="1985"/>
      <c r="H117" s="1227"/>
      <c r="I117" s="1227"/>
      <c r="J117" s="1227"/>
      <c r="K117" s="3208"/>
      <c r="L117" s="3208"/>
      <c r="M117" s="3208"/>
      <c r="S117" s="1986"/>
    </row>
    <row r="118" spans="1:30" ht="36.75" customHeight="1">
      <c r="A118" s="1985"/>
      <c r="G118" s="1987"/>
      <c r="H118" s="1227"/>
      <c r="I118" s="1227"/>
      <c r="J118" s="1227"/>
      <c r="K118" s="3208"/>
      <c r="L118" s="3208"/>
      <c r="M118" s="3208"/>
      <c r="S118" s="1986"/>
      <c r="Y118" s="2032"/>
      <c r="Z118" s="2097"/>
      <c r="AA118" s="2097" t="s">
        <v>1638</v>
      </c>
      <c r="AB118"/>
    </row>
    <row r="119" spans="1:30" ht="15">
      <c r="Y119" s="2034" t="s">
        <v>1626</v>
      </c>
      <c r="Z119" s="2035">
        <f>AVERAGEIFS(Z121:Z132,Z121:Z132,"&lt;&gt;0",Z121:Z132,"&lt;&gt;#DIV/0!")</f>
        <v>1.8851190476190478</v>
      </c>
      <c r="AA119" s="2036">
        <f>(Z119-1)*2+1</f>
        <v>2.7702380952380956</v>
      </c>
      <c r="AB119"/>
    </row>
    <row r="120" spans="1:30" ht="15">
      <c r="Y120" s="2037"/>
      <c r="Z120" s="2039"/>
      <c r="AA120" s="2033"/>
      <c r="AB120" s="2038"/>
    </row>
    <row r="121" spans="1:30" ht="15">
      <c r="Y121" s="2040" t="s">
        <v>1627</v>
      </c>
      <c r="Z121" s="2035">
        <f>Z10</f>
        <v>2.5428571428571431</v>
      </c>
      <c r="AA121" s="2033"/>
      <c r="AB121" s="2038"/>
    </row>
    <row r="122" spans="1:30" ht="15">
      <c r="Y122" s="2040" t="s">
        <v>1167</v>
      </c>
      <c r="Z122" s="2035">
        <f>Z29</f>
        <v>1.9</v>
      </c>
      <c r="AA122" s="2033"/>
      <c r="AB122" s="2038"/>
    </row>
    <row r="123" spans="1:30" ht="15">
      <c r="Y123" s="2040" t="s">
        <v>1168</v>
      </c>
      <c r="Z123" s="2035">
        <f>Z36</f>
        <v>2.5</v>
      </c>
      <c r="AA123" s="2033"/>
      <c r="AB123" s="2038"/>
    </row>
    <row r="124" spans="1:30" ht="15">
      <c r="Y124" s="2040" t="s">
        <v>1169</v>
      </c>
      <c r="Z124" s="2035">
        <f>Z40</f>
        <v>1.5</v>
      </c>
      <c r="AA124" s="2033"/>
      <c r="AB124" s="2038"/>
    </row>
    <row r="125" spans="1:30" ht="15">
      <c r="Y125" s="2040" t="s">
        <v>1171</v>
      </c>
      <c r="Z125" s="2035">
        <f>Z46</f>
        <v>1.5</v>
      </c>
      <c r="AA125" s="2033"/>
      <c r="AB125" s="2038"/>
    </row>
    <row r="126" spans="1:30" ht="15">
      <c r="Y126" s="2040" t="s">
        <v>1173</v>
      </c>
      <c r="Z126" s="2035">
        <f>Z50</f>
        <v>1.9</v>
      </c>
      <c r="AA126" s="2033"/>
      <c r="AB126" s="2038"/>
    </row>
    <row r="127" spans="1:30" ht="15">
      <c r="Y127" s="2040" t="s">
        <v>1175</v>
      </c>
      <c r="Z127" s="2035">
        <f>Z57</f>
        <v>1</v>
      </c>
      <c r="AA127" s="2033"/>
      <c r="AB127" s="2038"/>
    </row>
    <row r="128" spans="1:30" ht="15">
      <c r="Y128" s="2040" t="s">
        <v>1628</v>
      </c>
      <c r="Z128" s="2035">
        <f>Z63</f>
        <v>2.4285714285714284</v>
      </c>
      <c r="AA128" s="2033"/>
      <c r="AB128" s="2038"/>
    </row>
    <row r="129" spans="25:28" ht="15">
      <c r="Y129" s="2040" t="s">
        <v>1177</v>
      </c>
      <c r="Z129" s="2035">
        <f>Z82</f>
        <v>1.8708333333333336</v>
      </c>
      <c r="AA129" s="2033"/>
      <c r="AB129" s="2038"/>
    </row>
    <row r="130" spans="25:28" ht="15">
      <c r="Y130" s="2040" t="s">
        <v>1178</v>
      </c>
      <c r="Z130" s="2035">
        <f>Z98</f>
        <v>2.5</v>
      </c>
      <c r="AA130" s="2033"/>
      <c r="AB130" s="2038"/>
    </row>
    <row r="131" spans="25:28" ht="15">
      <c r="Y131" s="2040" t="s">
        <v>1179</v>
      </c>
      <c r="Z131" s="2035">
        <f>Z102</f>
        <v>1.1666666666666665</v>
      </c>
      <c r="AA131" s="2033"/>
      <c r="AB131" s="2038"/>
    </row>
    <row r="132" spans="25:28" ht="15">
      <c r="Y132" s="2040" t="s">
        <v>1629</v>
      </c>
      <c r="Z132" s="2035">
        <f>Z107</f>
        <v>1.8125</v>
      </c>
      <c r="AA132" s="2098"/>
      <c r="AB132" s="2038"/>
    </row>
    <row r="133" spans="25:28"/>
    <row r="134" spans="25:28"/>
    <row r="135" spans="25:28"/>
    <row r="136" spans="25:28"/>
    <row r="137" spans="25:28"/>
    <row r="138" spans="25:28"/>
    <row r="139" spans="25:28"/>
    <row r="140" spans="25:28"/>
    <row r="141" spans="25:28"/>
    <row r="142" spans="25:28"/>
    <row r="143" spans="25:28"/>
    <row r="144" spans="25:28"/>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ht="16.5" customHeight="1"/>
    <row r="1048568" ht="30.75" customHeight="1"/>
    <row r="1048569" ht="36" customHeight="1"/>
    <row r="1048570" ht="24" customHeight="1"/>
    <row r="1048571" ht="50.25" customHeight="1"/>
    <row r="1048572" ht="21" customHeight="1"/>
    <row r="1048573" ht="26.25" customHeight="1"/>
    <row r="1048574" ht="54" customHeight="1"/>
    <row r="1048575" ht="9.75" customHeight="1"/>
    <row r="1048576" ht="18" customHeight="1"/>
  </sheetData>
  <sheetProtection algorithmName="SHA-512" hashValue="WJJuZ9gYyJ/D4+yRumGUpkvr9mmDhvjJpTnpPafOjiCubXCWLOs+1tWvminGFKJ14sSE6o7O5g21mAlBpd7yLA==" saltValue="7QPD3oJgTpJR1AKZAxxy/Q==" spinCount="100000" sheet="1" formatRows="0"/>
  <mergeCells count="113">
    <mergeCell ref="C102:C104"/>
    <mergeCell ref="D102:D104"/>
    <mergeCell ref="AB102:AB104"/>
    <mergeCell ref="K117:M117"/>
    <mergeCell ref="K118:M118"/>
    <mergeCell ref="C95:C97"/>
    <mergeCell ref="D95:D97"/>
    <mergeCell ref="AB95:AB97"/>
    <mergeCell ref="Y98:Y99"/>
    <mergeCell ref="C99:C100"/>
    <mergeCell ref="D99:D100"/>
    <mergeCell ref="B82:B83"/>
    <mergeCell ref="Y82:Y83"/>
    <mergeCell ref="C85:C89"/>
    <mergeCell ref="D85:D89"/>
    <mergeCell ref="AB85:AB89"/>
    <mergeCell ref="C90:C93"/>
    <mergeCell ref="D90:D93"/>
    <mergeCell ref="AB90:AB93"/>
    <mergeCell ref="C71:C74"/>
    <mergeCell ref="D71:D74"/>
    <mergeCell ref="AB71:AB74"/>
    <mergeCell ref="C77:C80"/>
    <mergeCell ref="D77:D80"/>
    <mergeCell ref="AB77:AB80"/>
    <mergeCell ref="C66:C68"/>
    <mergeCell ref="D66:D68"/>
    <mergeCell ref="AB66:AB68"/>
    <mergeCell ref="C69:C70"/>
    <mergeCell ref="D69:D70"/>
    <mergeCell ref="AB69:AB70"/>
    <mergeCell ref="C57:C60"/>
    <mergeCell ref="D57:D60"/>
    <mergeCell ref="AB57:AB59"/>
    <mergeCell ref="A63:A65"/>
    <mergeCell ref="B63:B65"/>
    <mergeCell ref="Y63:Y65"/>
    <mergeCell ref="C64:C65"/>
    <mergeCell ref="D64:D65"/>
    <mergeCell ref="AB64:AB65"/>
    <mergeCell ref="B50:B51"/>
    <mergeCell ref="C50:C54"/>
    <mergeCell ref="D50:D54"/>
    <mergeCell ref="Y50:Y51"/>
    <mergeCell ref="AB50:AB54"/>
    <mergeCell ref="C55:C56"/>
    <mergeCell ref="D55:D56"/>
    <mergeCell ref="AB55:AB56"/>
    <mergeCell ref="B40:B42"/>
    <mergeCell ref="Y40:Y42"/>
    <mergeCell ref="C41:C42"/>
    <mergeCell ref="D41:D42"/>
    <mergeCell ref="AB41:AB42"/>
    <mergeCell ref="B46:B49"/>
    <mergeCell ref="Y46:Y49"/>
    <mergeCell ref="C48:C49"/>
    <mergeCell ref="D48:D49"/>
    <mergeCell ref="AB48:AB49"/>
    <mergeCell ref="C46:C47"/>
    <mergeCell ref="D46:D47"/>
    <mergeCell ref="C36:C37"/>
    <mergeCell ref="D36:D37"/>
    <mergeCell ref="Y36:Y37"/>
    <mergeCell ref="AB36:AB37"/>
    <mergeCell ref="C38:C39"/>
    <mergeCell ref="D38:D39"/>
    <mergeCell ref="AB38:AB39"/>
    <mergeCell ref="B29:B33"/>
    <mergeCell ref="C29:C33"/>
    <mergeCell ref="D29:D33"/>
    <mergeCell ref="Y29:Y33"/>
    <mergeCell ref="AB29:AB33"/>
    <mergeCell ref="C34:C35"/>
    <mergeCell ref="D34:D35"/>
    <mergeCell ref="AB34:AB35"/>
    <mergeCell ref="B36:B39"/>
    <mergeCell ref="C23:C24"/>
    <mergeCell ref="D23:D24"/>
    <mergeCell ref="AB23:AB24"/>
    <mergeCell ref="C25:C26"/>
    <mergeCell ref="D25:D26"/>
    <mergeCell ref="AB25:AB26"/>
    <mergeCell ref="C16:C18"/>
    <mergeCell ref="D16:D18"/>
    <mergeCell ref="AB16:AB18"/>
    <mergeCell ref="C19:C20"/>
    <mergeCell ref="D19:D20"/>
    <mergeCell ref="AB19:AB20"/>
    <mergeCell ref="AB9:AC9"/>
    <mergeCell ref="B10:B15"/>
    <mergeCell ref="Y10:Y15"/>
    <mergeCell ref="C11:C15"/>
    <mergeCell ref="D11:D15"/>
    <mergeCell ref="AB11:AB15"/>
    <mergeCell ref="K6:K7"/>
    <mergeCell ref="M6:M7"/>
    <mergeCell ref="C7:D7"/>
    <mergeCell ref="E7:F7"/>
    <mergeCell ref="Y9:Z9"/>
    <mergeCell ref="I2:J2"/>
    <mergeCell ref="C4:E4"/>
    <mergeCell ref="B6:B7"/>
    <mergeCell ref="C6:F6"/>
    <mergeCell ref="G6:G7"/>
    <mergeCell ref="H6:H7"/>
    <mergeCell ref="I6:I7"/>
    <mergeCell ref="J6:J7"/>
    <mergeCell ref="Y7:Z7"/>
    <mergeCell ref="S6:U6"/>
    <mergeCell ref="V6:V7"/>
    <mergeCell ref="W6:W7"/>
    <mergeCell ref="N2:N5"/>
    <mergeCell ref="O2:O5"/>
  </mergeCells>
  <phoneticPr fontId="4"/>
  <conditionalFormatting sqref="H18:J18 M18">
    <cfRule type="expression" dxfId="16" priority="15">
      <formula>$V$18="E"</formula>
    </cfRule>
  </conditionalFormatting>
  <conditionalFormatting sqref="H20:J20 M20">
    <cfRule type="expression" dxfId="15" priority="14">
      <formula>$V$20="E"</formula>
    </cfRule>
  </conditionalFormatting>
  <conditionalFormatting sqref="H26:J26 M26">
    <cfRule type="expression" dxfId="14" priority="13">
      <formula>$V$26="E"</formula>
    </cfRule>
  </conditionalFormatting>
  <conditionalFormatting sqref="H34:J34 M34">
    <cfRule type="expression" dxfId="13" priority="12">
      <formula>$V$34="E"</formula>
    </cfRule>
  </conditionalFormatting>
  <conditionalFormatting sqref="H35:J35 M35">
    <cfRule type="expression" dxfId="12" priority="11">
      <formula>$V$35="E"</formula>
    </cfRule>
  </conditionalFormatting>
  <conditionalFormatting sqref="H37:J37 M37">
    <cfRule type="expression" dxfId="11" priority="10">
      <formula>$V$37="E"</formula>
    </cfRule>
  </conditionalFormatting>
  <conditionalFormatting sqref="H39:J39 M39 H45:J45 H55:J61 H65:J65 M65 H71:J71 M71 H83:J83 M83 H100:J100 M100 H104:J105 M104:M105 H107:J107">
    <cfRule type="expression" dxfId="10" priority="9">
      <formula>$V39="E"</formula>
    </cfRule>
  </conditionalFormatting>
  <conditionalFormatting sqref="H43:J43">
    <cfRule type="expression" dxfId="9" priority="8">
      <formula>$V43="E"</formula>
    </cfRule>
  </conditionalFormatting>
  <conditionalFormatting sqref="H48:J49">
    <cfRule type="expression" dxfId="8" priority="1">
      <formula>$V48="E"</formula>
    </cfRule>
  </conditionalFormatting>
  <conditionalFormatting sqref="K11:K21 K23:K26 K28:K39 K41:K43 K45:K61 K64:K75 K83 K85:K93 K95:K100 K102:K105">
    <cfRule type="containsBlanks" dxfId="7" priority="42">
      <formula>LEN(TRIM(K11))=0</formula>
    </cfRule>
  </conditionalFormatting>
  <conditionalFormatting sqref="K77:K81 K107:K115">
    <cfRule type="containsBlanks" dxfId="6" priority="46">
      <formula>LEN(TRIM(K77))=0</formula>
    </cfRule>
  </conditionalFormatting>
  <conditionalFormatting sqref="M4">
    <cfRule type="expression" dxfId="5" priority="2">
      <formula>$V$5&gt;0</formula>
    </cfRule>
  </conditionalFormatting>
  <conditionalFormatting sqref="M43">
    <cfRule type="expression" dxfId="4" priority="7">
      <formula>$V43="E"</formula>
    </cfRule>
  </conditionalFormatting>
  <conditionalFormatting sqref="M45">
    <cfRule type="expression" dxfId="3" priority="6">
      <formula>$V45="E"</formula>
    </cfRule>
  </conditionalFormatting>
  <conditionalFormatting sqref="M47:M49">
    <cfRule type="expression" dxfId="2" priority="5">
      <formula>$V47="E"</formula>
    </cfRule>
  </conditionalFormatting>
  <conditionalFormatting sqref="M55:M61">
    <cfRule type="expression" dxfId="1" priority="4">
      <formula>$V55="E"</formula>
    </cfRule>
  </conditionalFormatting>
  <conditionalFormatting sqref="M107">
    <cfRule type="expression" dxfId="0" priority="3">
      <formula>$V107="E"</formula>
    </cfRule>
  </conditionalFormatting>
  <dataValidations count="3">
    <dataValidation type="list" allowBlank="1" showInputMessage="1" showErrorMessage="1" sqref="F4" xr:uid="{A9AB2E18-1C5D-4B21-9FA2-AEDBC15CE2E0}">
      <formula1>"実施する,実施しない"</formula1>
    </dataValidation>
    <dataValidation type="list" allowBlank="1" showInputMessage="1" showErrorMessage="1" sqref="L84" xr:uid="{AD05C606-1613-4D93-863C-6E0E71783784}">
      <formula1>$R$9:$R$9</formula1>
    </dataValidation>
    <dataValidation type="list" allowBlank="1" showInputMessage="1" showErrorMessage="1" sqref="H84:J84" xr:uid="{C9758012-02A2-4298-A251-E17C61802AC0}">
      <formula1>$Q$9:$Q$9</formula1>
    </dataValidation>
  </dataValidations>
  <printOptions horizontalCentered="1"/>
  <pageMargins left="0.31496062992125984" right="0.31496062992125984" top="0.35433070866141736" bottom="0.35433070866141736" header="0.31496062992125984" footer="0.31496062992125984"/>
  <pageSetup paperSize="8" scale="59" fitToHeight="0" orientation="portrait" r:id="rId1"/>
  <rowBreaks count="2" manualBreakCount="2">
    <brk id="39" min="1" max="30" man="1"/>
    <brk id="62" min="1"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2274311" r:id="rId4" name="GB311">
              <controlPr defaultSize="0" autoFill="0" autoPict="0">
                <anchor moveWithCells="1">
                  <from>
                    <xdr:col>6</xdr:col>
                    <xdr:colOff>0</xdr:colOff>
                    <xdr:row>10</xdr:row>
                    <xdr:rowOff>0</xdr:rowOff>
                  </from>
                  <to>
                    <xdr:col>6</xdr:col>
                    <xdr:colOff>2087880</xdr:colOff>
                    <xdr:row>11</xdr:row>
                    <xdr:rowOff>7620</xdr:rowOff>
                  </to>
                </anchor>
              </controlPr>
            </control>
          </mc:Choice>
        </mc:AlternateContent>
        <mc:AlternateContent xmlns:mc="http://schemas.openxmlformats.org/markup-compatibility/2006">
          <mc:Choice Requires="x14">
            <control shapeId="2274316" r:id="rId5" name="GB312">
              <controlPr defaultSize="0" autoFill="0" autoPict="0">
                <anchor moveWithCells="1">
                  <from>
                    <xdr:col>7</xdr:col>
                    <xdr:colOff>22860</xdr:colOff>
                    <xdr:row>11</xdr:row>
                    <xdr:rowOff>7620</xdr:rowOff>
                  </from>
                  <to>
                    <xdr:col>10</xdr:col>
                    <xdr:colOff>0</xdr:colOff>
                    <xdr:row>12</xdr:row>
                    <xdr:rowOff>7620</xdr:rowOff>
                  </to>
                </anchor>
              </controlPr>
            </control>
          </mc:Choice>
        </mc:AlternateContent>
        <mc:AlternateContent xmlns:mc="http://schemas.openxmlformats.org/markup-compatibility/2006">
          <mc:Choice Requires="x14">
            <control shapeId="2274320" r:id="rId6" name="GB313">
              <controlPr defaultSize="0" autoFill="0" autoPict="0">
                <anchor moveWithCells="1">
                  <from>
                    <xdr:col>7</xdr:col>
                    <xdr:colOff>22860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274328" r:id="rId7" name="GB314">
              <controlPr defaultSize="0" autoFill="0" autoPict="0">
                <anchor moveWithCells="1">
                  <from>
                    <xdr:col>7</xdr:col>
                    <xdr:colOff>38100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274337" r:id="rId8" name="GB315">
              <controlPr defaultSize="0" autoFill="0" autoPict="0">
                <anchor moveWithCells="1">
                  <from>
                    <xdr:col>7</xdr:col>
                    <xdr:colOff>38100</xdr:colOff>
                    <xdr:row>14</xdr:row>
                    <xdr:rowOff>38100</xdr:rowOff>
                  </from>
                  <to>
                    <xdr:col>10</xdr:col>
                    <xdr:colOff>0</xdr:colOff>
                    <xdr:row>14</xdr:row>
                    <xdr:rowOff>335280</xdr:rowOff>
                  </to>
                </anchor>
              </controlPr>
            </control>
          </mc:Choice>
        </mc:AlternateContent>
        <mc:AlternateContent xmlns:mc="http://schemas.openxmlformats.org/markup-compatibility/2006">
          <mc:Choice Requires="x14">
            <control shapeId="2274338" r:id="rId9" name="GB321">
              <controlPr defaultSize="0" autoFill="0" autoPict="0">
                <anchor moveWithCells="1">
                  <from>
                    <xdr:col>7</xdr:col>
                    <xdr:colOff>30480</xdr:colOff>
                    <xdr:row>15</xdr:row>
                    <xdr:rowOff>38100</xdr:rowOff>
                  </from>
                  <to>
                    <xdr:col>10</xdr:col>
                    <xdr:colOff>0</xdr:colOff>
                    <xdr:row>16</xdr:row>
                    <xdr:rowOff>0</xdr:rowOff>
                  </to>
                </anchor>
              </controlPr>
            </control>
          </mc:Choice>
        </mc:AlternateContent>
        <mc:AlternateContent xmlns:mc="http://schemas.openxmlformats.org/markup-compatibility/2006">
          <mc:Choice Requires="x14">
            <control shapeId="2274343" r:id="rId10" name="GB322">
              <controlPr defaultSize="0" autoFill="0" autoPict="0">
                <anchor moveWithCells="1">
                  <from>
                    <xdr:col>7</xdr:col>
                    <xdr:colOff>38100</xdr:colOff>
                    <xdr:row>16</xdr:row>
                    <xdr:rowOff>7620</xdr:rowOff>
                  </from>
                  <to>
                    <xdr:col>10</xdr:col>
                    <xdr:colOff>0</xdr:colOff>
                    <xdr:row>16</xdr:row>
                    <xdr:rowOff>335280</xdr:rowOff>
                  </to>
                </anchor>
              </controlPr>
            </control>
          </mc:Choice>
        </mc:AlternateContent>
        <mc:AlternateContent xmlns:mc="http://schemas.openxmlformats.org/markup-compatibility/2006">
          <mc:Choice Requires="x14">
            <control shapeId="2274345" r:id="rId11" name="Option Button 41">
              <controlPr locked="0" defaultSize="0" autoFill="0" autoLine="0" autoPict="0">
                <anchor moveWithCells="1">
                  <from>
                    <xdr:col>7</xdr:col>
                    <xdr:colOff>236220</xdr:colOff>
                    <xdr:row>17</xdr:row>
                    <xdr:rowOff>982980</xdr:rowOff>
                  </from>
                  <to>
                    <xdr:col>8</xdr:col>
                    <xdr:colOff>0</xdr:colOff>
                    <xdr:row>17</xdr:row>
                    <xdr:rowOff>1226820</xdr:rowOff>
                  </to>
                </anchor>
              </controlPr>
            </control>
          </mc:Choice>
        </mc:AlternateContent>
        <mc:AlternateContent xmlns:mc="http://schemas.openxmlformats.org/markup-compatibility/2006">
          <mc:Choice Requires="x14">
            <control shapeId="2274346" r:id="rId12" name="Option Button 42">
              <controlPr locked="0" defaultSize="0" autoFill="0" autoLine="0" autoPict="0">
                <anchor moveWithCells="1">
                  <from>
                    <xdr:col>8</xdr:col>
                    <xdr:colOff>236220</xdr:colOff>
                    <xdr:row>17</xdr:row>
                    <xdr:rowOff>982980</xdr:rowOff>
                  </from>
                  <to>
                    <xdr:col>9</xdr:col>
                    <xdr:colOff>0</xdr:colOff>
                    <xdr:row>17</xdr:row>
                    <xdr:rowOff>1226820</xdr:rowOff>
                  </to>
                </anchor>
              </controlPr>
            </control>
          </mc:Choice>
        </mc:AlternateContent>
        <mc:AlternateContent xmlns:mc="http://schemas.openxmlformats.org/markup-compatibility/2006">
          <mc:Choice Requires="x14">
            <control shapeId="2274347" r:id="rId13" name="Option Button 43">
              <controlPr locked="0" defaultSize="0" autoFill="0" autoLine="0" autoPict="0">
                <anchor moveWithCells="1">
                  <from>
                    <xdr:col>9</xdr:col>
                    <xdr:colOff>236220</xdr:colOff>
                    <xdr:row>17</xdr:row>
                    <xdr:rowOff>982980</xdr:rowOff>
                  </from>
                  <to>
                    <xdr:col>9</xdr:col>
                    <xdr:colOff>541020</xdr:colOff>
                    <xdr:row>17</xdr:row>
                    <xdr:rowOff>1226820</xdr:rowOff>
                  </to>
                </anchor>
              </controlPr>
            </control>
          </mc:Choice>
        </mc:AlternateContent>
        <mc:AlternateContent xmlns:mc="http://schemas.openxmlformats.org/markup-compatibility/2006">
          <mc:Choice Requires="x14">
            <control shapeId="2274349" r:id="rId14" name="GB323">
              <controlPr defaultSize="0" autoFill="0" autoPict="0">
                <anchor moveWithCells="1">
                  <from>
                    <xdr:col>7</xdr:col>
                    <xdr:colOff>45720</xdr:colOff>
                    <xdr:row>17</xdr:row>
                    <xdr:rowOff>731520</xdr:rowOff>
                  </from>
                  <to>
                    <xdr:col>10</xdr:col>
                    <xdr:colOff>0</xdr:colOff>
                    <xdr:row>17</xdr:row>
                    <xdr:rowOff>1531620</xdr:rowOff>
                  </to>
                </anchor>
              </controlPr>
            </control>
          </mc:Choice>
        </mc:AlternateContent>
        <mc:AlternateContent xmlns:mc="http://schemas.openxmlformats.org/markup-compatibility/2006">
          <mc:Choice Requires="x14">
            <control shapeId="2274357" r:id="rId15" name="GB331">
              <controlPr defaultSize="0" autoFill="0" autoPict="0">
                <anchor moveWithCells="1">
                  <from>
                    <xdr:col>7</xdr:col>
                    <xdr:colOff>60960</xdr:colOff>
                    <xdr:row>18</xdr:row>
                    <xdr:rowOff>22860</xdr:rowOff>
                  </from>
                  <to>
                    <xdr:col>10</xdr:col>
                    <xdr:colOff>0</xdr:colOff>
                    <xdr:row>18</xdr:row>
                    <xdr:rowOff>335280</xdr:rowOff>
                  </to>
                </anchor>
              </controlPr>
            </control>
          </mc:Choice>
        </mc:AlternateContent>
        <mc:AlternateContent xmlns:mc="http://schemas.openxmlformats.org/markup-compatibility/2006">
          <mc:Choice Requires="x14">
            <control shapeId="2274359" r:id="rId16" name="Option Button 55">
              <controlPr defaultSize="0" autoFill="0" autoLine="0" autoPict="0">
                <anchor moveWithCells="1">
                  <from>
                    <xdr:col>7</xdr:col>
                    <xdr:colOff>236220</xdr:colOff>
                    <xdr:row>19</xdr:row>
                    <xdr:rowOff>579120</xdr:rowOff>
                  </from>
                  <to>
                    <xdr:col>8</xdr:col>
                    <xdr:colOff>0</xdr:colOff>
                    <xdr:row>19</xdr:row>
                    <xdr:rowOff>822960</xdr:rowOff>
                  </to>
                </anchor>
              </controlPr>
            </control>
          </mc:Choice>
        </mc:AlternateContent>
        <mc:AlternateContent xmlns:mc="http://schemas.openxmlformats.org/markup-compatibility/2006">
          <mc:Choice Requires="x14">
            <control shapeId="2274360" r:id="rId17" name="Option Button 56">
              <controlPr defaultSize="0" autoFill="0" autoLine="0" autoPict="0">
                <anchor moveWithCells="1">
                  <from>
                    <xdr:col>8</xdr:col>
                    <xdr:colOff>236220</xdr:colOff>
                    <xdr:row>19</xdr:row>
                    <xdr:rowOff>579120</xdr:rowOff>
                  </from>
                  <to>
                    <xdr:col>9</xdr:col>
                    <xdr:colOff>0</xdr:colOff>
                    <xdr:row>19</xdr:row>
                    <xdr:rowOff>822960</xdr:rowOff>
                  </to>
                </anchor>
              </controlPr>
            </control>
          </mc:Choice>
        </mc:AlternateContent>
        <mc:AlternateContent xmlns:mc="http://schemas.openxmlformats.org/markup-compatibility/2006">
          <mc:Choice Requires="x14">
            <control shapeId="2274361" r:id="rId18" name="Option Button 57">
              <controlPr defaultSize="0" autoFill="0" autoLine="0" autoPict="0">
                <anchor moveWithCells="1">
                  <from>
                    <xdr:col>9</xdr:col>
                    <xdr:colOff>236220</xdr:colOff>
                    <xdr:row>19</xdr:row>
                    <xdr:rowOff>579120</xdr:rowOff>
                  </from>
                  <to>
                    <xdr:col>9</xdr:col>
                    <xdr:colOff>541020</xdr:colOff>
                    <xdr:row>19</xdr:row>
                    <xdr:rowOff>822960</xdr:rowOff>
                  </to>
                </anchor>
              </controlPr>
            </control>
          </mc:Choice>
        </mc:AlternateContent>
        <mc:AlternateContent xmlns:mc="http://schemas.openxmlformats.org/markup-compatibility/2006">
          <mc:Choice Requires="x14">
            <control shapeId="2274365" r:id="rId19" name="GB332">
              <controlPr defaultSize="0" autoFill="0" autoPict="0">
                <anchor moveWithCells="1">
                  <from>
                    <xdr:col>7</xdr:col>
                    <xdr:colOff>22860</xdr:colOff>
                    <xdr:row>19</xdr:row>
                    <xdr:rowOff>426720</xdr:rowOff>
                  </from>
                  <to>
                    <xdr:col>10</xdr:col>
                    <xdr:colOff>0</xdr:colOff>
                    <xdr:row>19</xdr:row>
                    <xdr:rowOff>1211580</xdr:rowOff>
                  </to>
                </anchor>
              </controlPr>
            </control>
          </mc:Choice>
        </mc:AlternateContent>
        <mc:AlternateContent xmlns:mc="http://schemas.openxmlformats.org/markup-compatibility/2006">
          <mc:Choice Requires="x14">
            <control shapeId="2274369" r:id="rId20" name="GB341">
              <controlPr defaultSize="0" autoFill="0" autoPict="0">
                <anchor moveWithCells="1">
                  <from>
                    <xdr:col>7</xdr:col>
                    <xdr:colOff>30480</xdr:colOff>
                    <xdr:row>20</xdr:row>
                    <xdr:rowOff>22860</xdr:rowOff>
                  </from>
                  <to>
                    <xdr:col>10</xdr:col>
                    <xdr:colOff>0</xdr:colOff>
                    <xdr:row>20</xdr:row>
                    <xdr:rowOff>335280</xdr:rowOff>
                  </to>
                </anchor>
              </controlPr>
            </control>
          </mc:Choice>
        </mc:AlternateContent>
        <mc:AlternateContent xmlns:mc="http://schemas.openxmlformats.org/markup-compatibility/2006">
          <mc:Choice Requires="x14">
            <control shapeId="2274373" r:id="rId21" name="GB351">
              <controlPr defaultSize="0" autoFill="0" autoPict="0">
                <anchor moveWithCells="1">
                  <from>
                    <xdr:col>7</xdr:col>
                    <xdr:colOff>68580</xdr:colOff>
                    <xdr:row>22</xdr:row>
                    <xdr:rowOff>22860</xdr:rowOff>
                  </from>
                  <to>
                    <xdr:col>10</xdr:col>
                    <xdr:colOff>0</xdr:colOff>
                    <xdr:row>23</xdr:row>
                    <xdr:rowOff>7620</xdr:rowOff>
                  </to>
                </anchor>
              </controlPr>
            </control>
          </mc:Choice>
        </mc:AlternateContent>
        <mc:AlternateContent xmlns:mc="http://schemas.openxmlformats.org/markup-compatibility/2006">
          <mc:Choice Requires="x14">
            <control shapeId="2274378" r:id="rId22" name="GB352">
              <controlPr defaultSize="0" autoFill="0" autoPict="0">
                <anchor moveWithCells="1">
                  <from>
                    <xdr:col>7</xdr:col>
                    <xdr:colOff>30480</xdr:colOff>
                    <xdr:row>23</xdr:row>
                    <xdr:rowOff>7620</xdr:rowOff>
                  </from>
                  <to>
                    <xdr:col>10</xdr:col>
                    <xdr:colOff>0</xdr:colOff>
                    <xdr:row>24</xdr:row>
                    <xdr:rowOff>0</xdr:rowOff>
                  </to>
                </anchor>
              </controlPr>
            </control>
          </mc:Choice>
        </mc:AlternateContent>
        <mc:AlternateContent xmlns:mc="http://schemas.openxmlformats.org/markup-compatibility/2006">
          <mc:Choice Requires="x14">
            <control shapeId="2274382" r:id="rId23" name="GB361">
              <controlPr defaultSize="0" autoFill="0" autoPict="0">
                <anchor moveWithCells="1">
                  <from>
                    <xdr:col>7</xdr:col>
                    <xdr:colOff>38100</xdr:colOff>
                    <xdr:row>24</xdr:row>
                    <xdr:rowOff>7620</xdr:rowOff>
                  </from>
                  <to>
                    <xdr:col>10</xdr:col>
                    <xdr:colOff>0</xdr:colOff>
                    <xdr:row>25</xdr:row>
                    <xdr:rowOff>0</xdr:rowOff>
                  </to>
                </anchor>
              </controlPr>
            </control>
          </mc:Choice>
        </mc:AlternateContent>
        <mc:AlternateContent xmlns:mc="http://schemas.openxmlformats.org/markup-compatibility/2006">
          <mc:Choice Requires="x14">
            <control shapeId="2274383" r:id="rId24" name="Option Button 79">
              <controlPr defaultSize="0" autoFill="0" autoLine="0" autoPict="0">
                <anchor moveWithCells="1">
                  <from>
                    <xdr:col>7</xdr:col>
                    <xdr:colOff>236220</xdr:colOff>
                    <xdr:row>25</xdr:row>
                    <xdr:rowOff>350520</xdr:rowOff>
                  </from>
                  <to>
                    <xdr:col>8</xdr:col>
                    <xdr:colOff>0</xdr:colOff>
                    <xdr:row>25</xdr:row>
                    <xdr:rowOff>579120</xdr:rowOff>
                  </to>
                </anchor>
              </controlPr>
            </control>
          </mc:Choice>
        </mc:AlternateContent>
        <mc:AlternateContent xmlns:mc="http://schemas.openxmlformats.org/markup-compatibility/2006">
          <mc:Choice Requires="x14">
            <control shapeId="2274384" r:id="rId25" name="Option Button 80">
              <controlPr defaultSize="0" autoFill="0" autoLine="0" autoPict="0">
                <anchor moveWithCells="1">
                  <from>
                    <xdr:col>8</xdr:col>
                    <xdr:colOff>236220</xdr:colOff>
                    <xdr:row>25</xdr:row>
                    <xdr:rowOff>350520</xdr:rowOff>
                  </from>
                  <to>
                    <xdr:col>9</xdr:col>
                    <xdr:colOff>0</xdr:colOff>
                    <xdr:row>25</xdr:row>
                    <xdr:rowOff>579120</xdr:rowOff>
                  </to>
                </anchor>
              </controlPr>
            </control>
          </mc:Choice>
        </mc:AlternateContent>
        <mc:AlternateContent xmlns:mc="http://schemas.openxmlformats.org/markup-compatibility/2006">
          <mc:Choice Requires="x14">
            <control shapeId="2274385" r:id="rId26" name="Option Button 81">
              <controlPr defaultSize="0" autoFill="0" autoLine="0" autoPict="0">
                <anchor moveWithCells="1">
                  <from>
                    <xdr:col>9</xdr:col>
                    <xdr:colOff>236220</xdr:colOff>
                    <xdr:row>25</xdr:row>
                    <xdr:rowOff>350520</xdr:rowOff>
                  </from>
                  <to>
                    <xdr:col>9</xdr:col>
                    <xdr:colOff>541020</xdr:colOff>
                    <xdr:row>25</xdr:row>
                    <xdr:rowOff>579120</xdr:rowOff>
                  </to>
                </anchor>
              </controlPr>
            </control>
          </mc:Choice>
        </mc:AlternateContent>
        <mc:AlternateContent xmlns:mc="http://schemas.openxmlformats.org/markup-compatibility/2006">
          <mc:Choice Requires="x14">
            <control shapeId="2274387" r:id="rId27" name="GB362">
              <controlPr defaultSize="0" autoFill="0" autoPict="0">
                <anchor moveWithCells="1">
                  <from>
                    <xdr:col>7</xdr:col>
                    <xdr:colOff>22860</xdr:colOff>
                    <xdr:row>25</xdr:row>
                    <xdr:rowOff>190500</xdr:rowOff>
                  </from>
                  <to>
                    <xdr:col>10</xdr:col>
                    <xdr:colOff>0</xdr:colOff>
                    <xdr:row>25</xdr:row>
                    <xdr:rowOff>868680</xdr:rowOff>
                  </to>
                </anchor>
              </controlPr>
            </control>
          </mc:Choice>
        </mc:AlternateContent>
        <mc:AlternateContent xmlns:mc="http://schemas.openxmlformats.org/markup-compatibility/2006">
          <mc:Choice Requires="x14">
            <control shapeId="2274392" r:id="rId28" name="GB371">
              <controlPr defaultSize="0" autoFill="0" autoPict="0">
                <anchor moveWithCells="1">
                  <from>
                    <xdr:col>7</xdr:col>
                    <xdr:colOff>45720</xdr:colOff>
                    <xdr:row>27</xdr:row>
                    <xdr:rowOff>30480</xdr:rowOff>
                  </from>
                  <to>
                    <xdr:col>10</xdr:col>
                    <xdr:colOff>0</xdr:colOff>
                    <xdr:row>28</xdr:row>
                    <xdr:rowOff>7620</xdr:rowOff>
                  </to>
                </anchor>
              </controlPr>
            </control>
          </mc:Choice>
        </mc:AlternateContent>
        <mc:AlternateContent xmlns:mc="http://schemas.openxmlformats.org/markup-compatibility/2006">
          <mc:Choice Requires="x14">
            <control shapeId="2274396" r:id="rId29" name="GB411">
              <controlPr defaultSize="0" autoFill="0" autoPict="0">
                <anchor moveWithCells="1">
                  <from>
                    <xdr:col>7</xdr:col>
                    <xdr:colOff>68580</xdr:colOff>
                    <xdr:row>28</xdr:row>
                    <xdr:rowOff>7620</xdr:rowOff>
                  </from>
                  <to>
                    <xdr:col>10</xdr:col>
                    <xdr:colOff>0</xdr:colOff>
                    <xdr:row>28</xdr:row>
                    <xdr:rowOff>335280</xdr:rowOff>
                  </to>
                </anchor>
              </controlPr>
            </control>
          </mc:Choice>
        </mc:AlternateContent>
        <mc:AlternateContent xmlns:mc="http://schemas.openxmlformats.org/markup-compatibility/2006">
          <mc:Choice Requires="x14">
            <control shapeId="2274400" r:id="rId30" name="GB412">
              <controlPr defaultSize="0" autoFill="0" autoPict="0">
                <anchor moveWithCells="1">
                  <from>
                    <xdr:col>7</xdr:col>
                    <xdr:colOff>30480</xdr:colOff>
                    <xdr:row>29</xdr:row>
                    <xdr:rowOff>22860</xdr:rowOff>
                  </from>
                  <to>
                    <xdr:col>10</xdr:col>
                    <xdr:colOff>0</xdr:colOff>
                    <xdr:row>30</xdr:row>
                    <xdr:rowOff>0</xdr:rowOff>
                  </to>
                </anchor>
              </controlPr>
            </control>
          </mc:Choice>
        </mc:AlternateContent>
        <mc:AlternateContent xmlns:mc="http://schemas.openxmlformats.org/markup-compatibility/2006">
          <mc:Choice Requires="x14">
            <control shapeId="2274404" r:id="rId31" name="GB413">
              <controlPr defaultSize="0" autoFill="0" autoPict="0">
                <anchor moveWithCells="1">
                  <from>
                    <xdr:col>7</xdr:col>
                    <xdr:colOff>68580</xdr:colOff>
                    <xdr:row>30</xdr:row>
                    <xdr:rowOff>45720</xdr:rowOff>
                  </from>
                  <to>
                    <xdr:col>10</xdr:col>
                    <xdr:colOff>0</xdr:colOff>
                    <xdr:row>31</xdr:row>
                    <xdr:rowOff>0</xdr:rowOff>
                  </to>
                </anchor>
              </controlPr>
            </control>
          </mc:Choice>
        </mc:AlternateContent>
        <mc:AlternateContent xmlns:mc="http://schemas.openxmlformats.org/markup-compatibility/2006">
          <mc:Choice Requires="x14">
            <control shapeId="2274408" r:id="rId32" name="GB414">
              <controlPr defaultSize="0" autoFill="0" autoPict="0">
                <anchor moveWithCells="1">
                  <from>
                    <xdr:col>7</xdr:col>
                    <xdr:colOff>76200</xdr:colOff>
                    <xdr:row>31</xdr:row>
                    <xdr:rowOff>7620</xdr:rowOff>
                  </from>
                  <to>
                    <xdr:col>10</xdr:col>
                    <xdr:colOff>0</xdr:colOff>
                    <xdr:row>32</xdr:row>
                    <xdr:rowOff>0</xdr:rowOff>
                  </to>
                </anchor>
              </controlPr>
            </control>
          </mc:Choice>
        </mc:AlternateContent>
        <mc:AlternateContent xmlns:mc="http://schemas.openxmlformats.org/markup-compatibility/2006">
          <mc:Choice Requires="x14">
            <control shapeId="2274412" r:id="rId33" name="GB415">
              <controlPr defaultSize="0" autoFill="0" autoPict="0">
                <anchor moveWithCells="1">
                  <from>
                    <xdr:col>7</xdr:col>
                    <xdr:colOff>30480</xdr:colOff>
                    <xdr:row>31</xdr:row>
                    <xdr:rowOff>335280</xdr:rowOff>
                  </from>
                  <to>
                    <xdr:col>10</xdr:col>
                    <xdr:colOff>0</xdr:colOff>
                    <xdr:row>33</xdr:row>
                    <xdr:rowOff>0</xdr:rowOff>
                  </to>
                </anchor>
              </controlPr>
            </control>
          </mc:Choice>
        </mc:AlternateContent>
        <mc:AlternateContent xmlns:mc="http://schemas.openxmlformats.org/markup-compatibility/2006">
          <mc:Choice Requires="x14">
            <control shapeId="2274413" r:id="rId34" name="Option Button 109">
              <controlPr defaultSize="0" autoFill="0" autoLine="0" autoPict="0">
                <anchor moveWithCells="1">
                  <from>
                    <xdr:col>7</xdr:col>
                    <xdr:colOff>236220</xdr:colOff>
                    <xdr:row>33</xdr:row>
                    <xdr:rowOff>525780</xdr:rowOff>
                  </from>
                  <to>
                    <xdr:col>8</xdr:col>
                    <xdr:colOff>0</xdr:colOff>
                    <xdr:row>33</xdr:row>
                    <xdr:rowOff>762000</xdr:rowOff>
                  </to>
                </anchor>
              </controlPr>
            </control>
          </mc:Choice>
        </mc:AlternateContent>
        <mc:AlternateContent xmlns:mc="http://schemas.openxmlformats.org/markup-compatibility/2006">
          <mc:Choice Requires="x14">
            <control shapeId="2274414" r:id="rId35" name="Option Button 110">
              <controlPr defaultSize="0" autoFill="0" autoLine="0" autoPict="0">
                <anchor moveWithCells="1">
                  <from>
                    <xdr:col>8</xdr:col>
                    <xdr:colOff>236220</xdr:colOff>
                    <xdr:row>33</xdr:row>
                    <xdr:rowOff>525780</xdr:rowOff>
                  </from>
                  <to>
                    <xdr:col>9</xdr:col>
                    <xdr:colOff>0</xdr:colOff>
                    <xdr:row>33</xdr:row>
                    <xdr:rowOff>762000</xdr:rowOff>
                  </to>
                </anchor>
              </controlPr>
            </control>
          </mc:Choice>
        </mc:AlternateContent>
        <mc:AlternateContent xmlns:mc="http://schemas.openxmlformats.org/markup-compatibility/2006">
          <mc:Choice Requires="x14">
            <control shapeId="2274415" r:id="rId36" name="Option Button 111">
              <controlPr defaultSize="0" autoFill="0" autoLine="0" autoPict="0">
                <anchor moveWithCells="1">
                  <from>
                    <xdr:col>9</xdr:col>
                    <xdr:colOff>236220</xdr:colOff>
                    <xdr:row>33</xdr:row>
                    <xdr:rowOff>525780</xdr:rowOff>
                  </from>
                  <to>
                    <xdr:col>9</xdr:col>
                    <xdr:colOff>541020</xdr:colOff>
                    <xdr:row>33</xdr:row>
                    <xdr:rowOff>762000</xdr:rowOff>
                  </to>
                </anchor>
              </controlPr>
            </control>
          </mc:Choice>
        </mc:AlternateContent>
        <mc:AlternateContent xmlns:mc="http://schemas.openxmlformats.org/markup-compatibility/2006">
          <mc:Choice Requires="x14">
            <control shapeId="2274417" r:id="rId37" name="GB421">
              <controlPr defaultSize="0" autoFill="0" autoPict="0">
                <anchor moveWithCells="1">
                  <from>
                    <xdr:col>7</xdr:col>
                    <xdr:colOff>83820</xdr:colOff>
                    <xdr:row>33</xdr:row>
                    <xdr:rowOff>312420</xdr:rowOff>
                  </from>
                  <to>
                    <xdr:col>10</xdr:col>
                    <xdr:colOff>0</xdr:colOff>
                    <xdr:row>33</xdr:row>
                    <xdr:rowOff>1059180</xdr:rowOff>
                  </to>
                </anchor>
              </controlPr>
            </control>
          </mc:Choice>
        </mc:AlternateContent>
        <mc:AlternateContent xmlns:mc="http://schemas.openxmlformats.org/markup-compatibility/2006">
          <mc:Choice Requires="x14">
            <control shapeId="2274418" r:id="rId38" name="Option Button 114">
              <controlPr defaultSize="0" autoFill="0" autoLine="0" autoPict="0">
                <anchor moveWithCells="1">
                  <from>
                    <xdr:col>7</xdr:col>
                    <xdr:colOff>236220</xdr:colOff>
                    <xdr:row>34</xdr:row>
                    <xdr:rowOff>579120</xdr:rowOff>
                  </from>
                  <to>
                    <xdr:col>8</xdr:col>
                    <xdr:colOff>0</xdr:colOff>
                    <xdr:row>34</xdr:row>
                    <xdr:rowOff>822960</xdr:rowOff>
                  </to>
                </anchor>
              </controlPr>
            </control>
          </mc:Choice>
        </mc:AlternateContent>
        <mc:AlternateContent xmlns:mc="http://schemas.openxmlformats.org/markup-compatibility/2006">
          <mc:Choice Requires="x14">
            <control shapeId="2274419" r:id="rId39" name="Option Button 115">
              <controlPr defaultSize="0" autoFill="0" autoLine="0" autoPict="0">
                <anchor moveWithCells="1">
                  <from>
                    <xdr:col>8</xdr:col>
                    <xdr:colOff>236220</xdr:colOff>
                    <xdr:row>34</xdr:row>
                    <xdr:rowOff>579120</xdr:rowOff>
                  </from>
                  <to>
                    <xdr:col>9</xdr:col>
                    <xdr:colOff>0</xdr:colOff>
                    <xdr:row>34</xdr:row>
                    <xdr:rowOff>822960</xdr:rowOff>
                  </to>
                </anchor>
              </controlPr>
            </control>
          </mc:Choice>
        </mc:AlternateContent>
        <mc:AlternateContent xmlns:mc="http://schemas.openxmlformats.org/markup-compatibility/2006">
          <mc:Choice Requires="x14">
            <control shapeId="2274420" r:id="rId40" name="Option Button 116">
              <controlPr defaultSize="0" autoFill="0" autoLine="0" autoPict="0">
                <anchor moveWithCells="1">
                  <from>
                    <xdr:col>9</xdr:col>
                    <xdr:colOff>236220</xdr:colOff>
                    <xdr:row>34</xdr:row>
                    <xdr:rowOff>579120</xdr:rowOff>
                  </from>
                  <to>
                    <xdr:col>9</xdr:col>
                    <xdr:colOff>541020</xdr:colOff>
                    <xdr:row>34</xdr:row>
                    <xdr:rowOff>822960</xdr:rowOff>
                  </to>
                </anchor>
              </controlPr>
            </control>
          </mc:Choice>
        </mc:AlternateContent>
        <mc:AlternateContent xmlns:mc="http://schemas.openxmlformats.org/markup-compatibility/2006">
          <mc:Choice Requires="x14">
            <control shapeId="2274422" r:id="rId41" name="GB422">
              <controlPr defaultSize="0" autoFill="0" autoPict="0">
                <anchor moveWithCells="1">
                  <from>
                    <xdr:col>7</xdr:col>
                    <xdr:colOff>99060</xdr:colOff>
                    <xdr:row>34</xdr:row>
                    <xdr:rowOff>220980</xdr:rowOff>
                  </from>
                  <to>
                    <xdr:col>10</xdr:col>
                    <xdr:colOff>0</xdr:colOff>
                    <xdr:row>34</xdr:row>
                    <xdr:rowOff>1097280</xdr:rowOff>
                  </to>
                </anchor>
              </controlPr>
            </control>
          </mc:Choice>
        </mc:AlternateContent>
        <mc:AlternateContent xmlns:mc="http://schemas.openxmlformats.org/markup-compatibility/2006">
          <mc:Choice Requires="x14">
            <control shapeId="2274426" r:id="rId42" name="GB511">
              <controlPr defaultSize="0" autoFill="0" autoPict="0">
                <anchor moveWithCells="1">
                  <from>
                    <xdr:col>7</xdr:col>
                    <xdr:colOff>60960</xdr:colOff>
                    <xdr:row>35</xdr:row>
                    <xdr:rowOff>22860</xdr:rowOff>
                  </from>
                  <to>
                    <xdr:col>10</xdr:col>
                    <xdr:colOff>0</xdr:colOff>
                    <xdr:row>36</xdr:row>
                    <xdr:rowOff>0</xdr:rowOff>
                  </to>
                </anchor>
              </controlPr>
            </control>
          </mc:Choice>
        </mc:AlternateContent>
        <mc:AlternateContent xmlns:mc="http://schemas.openxmlformats.org/markup-compatibility/2006">
          <mc:Choice Requires="x14">
            <control shapeId="2274431" r:id="rId43" name="GB512">
              <controlPr defaultSize="0" autoFill="0" autoPict="0">
                <anchor moveWithCells="1">
                  <from>
                    <xdr:col>7</xdr:col>
                    <xdr:colOff>30480</xdr:colOff>
                    <xdr:row>36</xdr:row>
                    <xdr:rowOff>457200</xdr:rowOff>
                  </from>
                  <to>
                    <xdr:col>10</xdr:col>
                    <xdr:colOff>0</xdr:colOff>
                    <xdr:row>38</xdr:row>
                    <xdr:rowOff>678180</xdr:rowOff>
                  </to>
                </anchor>
              </controlPr>
            </control>
          </mc:Choice>
        </mc:AlternateContent>
        <mc:AlternateContent xmlns:mc="http://schemas.openxmlformats.org/markup-compatibility/2006">
          <mc:Choice Requires="x14">
            <control shapeId="2274435" r:id="rId44" name="GB521">
              <controlPr defaultSize="0" autoFill="0" autoPict="0" altText="GB521">
                <anchor moveWithCells="1">
                  <from>
                    <xdr:col>7</xdr:col>
                    <xdr:colOff>60960</xdr:colOff>
                    <xdr:row>37</xdr:row>
                    <xdr:rowOff>22860</xdr:rowOff>
                  </from>
                  <to>
                    <xdr:col>10</xdr:col>
                    <xdr:colOff>0</xdr:colOff>
                    <xdr:row>38</xdr:row>
                    <xdr:rowOff>0</xdr:rowOff>
                  </to>
                </anchor>
              </controlPr>
            </control>
          </mc:Choice>
        </mc:AlternateContent>
        <mc:AlternateContent xmlns:mc="http://schemas.openxmlformats.org/markup-compatibility/2006">
          <mc:Choice Requires="x14">
            <control shapeId="2274436" r:id="rId45" name="Option Button 132">
              <controlPr defaultSize="0" autoFill="0" autoLine="0" autoPict="0">
                <anchor moveWithCells="1">
                  <from>
                    <xdr:col>7</xdr:col>
                    <xdr:colOff>236220</xdr:colOff>
                    <xdr:row>38</xdr:row>
                    <xdr:rowOff>1127760</xdr:rowOff>
                  </from>
                  <to>
                    <xdr:col>8</xdr:col>
                    <xdr:colOff>0</xdr:colOff>
                    <xdr:row>38</xdr:row>
                    <xdr:rowOff>1363980</xdr:rowOff>
                  </to>
                </anchor>
              </controlPr>
            </control>
          </mc:Choice>
        </mc:AlternateContent>
        <mc:AlternateContent xmlns:mc="http://schemas.openxmlformats.org/markup-compatibility/2006">
          <mc:Choice Requires="x14">
            <control shapeId="2274437" r:id="rId46" name="Option Button 133">
              <controlPr defaultSize="0" autoFill="0" autoLine="0" autoPict="0">
                <anchor moveWithCells="1">
                  <from>
                    <xdr:col>8</xdr:col>
                    <xdr:colOff>236220</xdr:colOff>
                    <xdr:row>38</xdr:row>
                    <xdr:rowOff>1127760</xdr:rowOff>
                  </from>
                  <to>
                    <xdr:col>9</xdr:col>
                    <xdr:colOff>0</xdr:colOff>
                    <xdr:row>38</xdr:row>
                    <xdr:rowOff>1363980</xdr:rowOff>
                  </to>
                </anchor>
              </controlPr>
            </control>
          </mc:Choice>
        </mc:AlternateContent>
        <mc:AlternateContent xmlns:mc="http://schemas.openxmlformats.org/markup-compatibility/2006">
          <mc:Choice Requires="x14">
            <control shapeId="2274438" r:id="rId47" name="Option Button 134">
              <controlPr defaultSize="0" autoFill="0" autoLine="0" autoPict="0">
                <anchor moveWithCells="1">
                  <from>
                    <xdr:col>9</xdr:col>
                    <xdr:colOff>236220</xdr:colOff>
                    <xdr:row>38</xdr:row>
                    <xdr:rowOff>1127760</xdr:rowOff>
                  </from>
                  <to>
                    <xdr:col>9</xdr:col>
                    <xdr:colOff>541020</xdr:colOff>
                    <xdr:row>38</xdr:row>
                    <xdr:rowOff>1363980</xdr:rowOff>
                  </to>
                </anchor>
              </controlPr>
            </control>
          </mc:Choice>
        </mc:AlternateContent>
        <mc:AlternateContent xmlns:mc="http://schemas.openxmlformats.org/markup-compatibility/2006">
          <mc:Choice Requires="x14">
            <control shapeId="2274440" r:id="rId48" name="GB522">
              <controlPr defaultSize="0" autoFill="0" autoPict="0">
                <anchor moveWithCells="1">
                  <from>
                    <xdr:col>7</xdr:col>
                    <xdr:colOff>30480</xdr:colOff>
                    <xdr:row>38</xdr:row>
                    <xdr:rowOff>845820</xdr:rowOff>
                  </from>
                  <to>
                    <xdr:col>10</xdr:col>
                    <xdr:colOff>0</xdr:colOff>
                    <xdr:row>38</xdr:row>
                    <xdr:rowOff>1874520</xdr:rowOff>
                  </to>
                </anchor>
              </controlPr>
            </control>
          </mc:Choice>
        </mc:AlternateContent>
        <mc:AlternateContent xmlns:mc="http://schemas.openxmlformats.org/markup-compatibility/2006">
          <mc:Choice Requires="x14">
            <control shapeId="2274444" r:id="rId49" name="GB611">
              <controlPr defaultSize="0" autoFill="0" autoPict="0">
                <anchor moveWithCells="1">
                  <from>
                    <xdr:col>7</xdr:col>
                    <xdr:colOff>60960</xdr:colOff>
                    <xdr:row>40</xdr:row>
                    <xdr:rowOff>22860</xdr:rowOff>
                  </from>
                  <to>
                    <xdr:col>10</xdr:col>
                    <xdr:colOff>0</xdr:colOff>
                    <xdr:row>41</xdr:row>
                    <xdr:rowOff>0</xdr:rowOff>
                  </to>
                </anchor>
              </controlPr>
            </control>
          </mc:Choice>
        </mc:AlternateContent>
        <mc:AlternateContent xmlns:mc="http://schemas.openxmlformats.org/markup-compatibility/2006">
          <mc:Choice Requires="x14">
            <control shapeId="2274448" r:id="rId50" name="GB612">
              <controlPr defaultSize="0" autoFill="0" autoPict="0">
                <anchor moveWithCells="1">
                  <from>
                    <xdr:col>7</xdr:col>
                    <xdr:colOff>60960</xdr:colOff>
                    <xdr:row>41</xdr:row>
                    <xdr:rowOff>22860</xdr:rowOff>
                  </from>
                  <to>
                    <xdr:col>10</xdr:col>
                    <xdr:colOff>0</xdr:colOff>
                    <xdr:row>42</xdr:row>
                    <xdr:rowOff>0</xdr:rowOff>
                  </to>
                </anchor>
              </controlPr>
            </control>
          </mc:Choice>
        </mc:AlternateContent>
        <mc:AlternateContent xmlns:mc="http://schemas.openxmlformats.org/markup-compatibility/2006">
          <mc:Choice Requires="x14">
            <control shapeId="2274449" r:id="rId51" name="Option Button 145">
              <controlPr defaultSize="0" autoFill="0" autoLine="0" autoPict="0">
                <anchor moveWithCells="1">
                  <from>
                    <xdr:col>7</xdr:col>
                    <xdr:colOff>236220</xdr:colOff>
                    <xdr:row>42</xdr:row>
                    <xdr:rowOff>678180</xdr:rowOff>
                  </from>
                  <to>
                    <xdr:col>8</xdr:col>
                    <xdr:colOff>0</xdr:colOff>
                    <xdr:row>42</xdr:row>
                    <xdr:rowOff>914400</xdr:rowOff>
                  </to>
                </anchor>
              </controlPr>
            </control>
          </mc:Choice>
        </mc:AlternateContent>
        <mc:AlternateContent xmlns:mc="http://schemas.openxmlformats.org/markup-compatibility/2006">
          <mc:Choice Requires="x14">
            <control shapeId="2274450" r:id="rId52" name="Option Button 146">
              <controlPr defaultSize="0" autoFill="0" autoLine="0" autoPict="0">
                <anchor moveWithCells="1">
                  <from>
                    <xdr:col>8</xdr:col>
                    <xdr:colOff>236220</xdr:colOff>
                    <xdr:row>42</xdr:row>
                    <xdr:rowOff>678180</xdr:rowOff>
                  </from>
                  <to>
                    <xdr:col>9</xdr:col>
                    <xdr:colOff>0</xdr:colOff>
                    <xdr:row>42</xdr:row>
                    <xdr:rowOff>914400</xdr:rowOff>
                  </to>
                </anchor>
              </controlPr>
            </control>
          </mc:Choice>
        </mc:AlternateContent>
        <mc:AlternateContent xmlns:mc="http://schemas.openxmlformats.org/markup-compatibility/2006">
          <mc:Choice Requires="x14">
            <control shapeId="2274451" r:id="rId53" name="Option Button 147">
              <controlPr defaultSize="0" autoFill="0" autoLine="0" autoPict="0">
                <anchor moveWithCells="1">
                  <from>
                    <xdr:col>9</xdr:col>
                    <xdr:colOff>236220</xdr:colOff>
                    <xdr:row>42</xdr:row>
                    <xdr:rowOff>678180</xdr:rowOff>
                  </from>
                  <to>
                    <xdr:col>9</xdr:col>
                    <xdr:colOff>541020</xdr:colOff>
                    <xdr:row>42</xdr:row>
                    <xdr:rowOff>914400</xdr:rowOff>
                  </to>
                </anchor>
              </controlPr>
            </control>
          </mc:Choice>
        </mc:AlternateContent>
        <mc:AlternateContent xmlns:mc="http://schemas.openxmlformats.org/markup-compatibility/2006">
          <mc:Choice Requires="x14">
            <control shapeId="2274453" r:id="rId54" name="GB621">
              <controlPr defaultSize="0" autoFill="0" autoPict="0">
                <anchor moveWithCells="1">
                  <from>
                    <xdr:col>7</xdr:col>
                    <xdr:colOff>144780</xdr:colOff>
                    <xdr:row>42</xdr:row>
                    <xdr:rowOff>381000</xdr:rowOff>
                  </from>
                  <to>
                    <xdr:col>10</xdr:col>
                    <xdr:colOff>0</xdr:colOff>
                    <xdr:row>42</xdr:row>
                    <xdr:rowOff>1417320</xdr:rowOff>
                  </to>
                </anchor>
              </controlPr>
            </control>
          </mc:Choice>
        </mc:AlternateContent>
        <mc:AlternateContent xmlns:mc="http://schemas.openxmlformats.org/markup-compatibility/2006">
          <mc:Choice Requires="x14">
            <control shapeId="2274455" r:id="rId55" name="Option Button 151">
              <controlPr defaultSize="0" autoFill="0" autoLine="0" autoPict="0">
                <anchor moveWithCells="1">
                  <from>
                    <xdr:col>7</xdr:col>
                    <xdr:colOff>236220</xdr:colOff>
                    <xdr:row>44</xdr:row>
                    <xdr:rowOff>937260</xdr:rowOff>
                  </from>
                  <to>
                    <xdr:col>8</xdr:col>
                    <xdr:colOff>0</xdr:colOff>
                    <xdr:row>44</xdr:row>
                    <xdr:rowOff>1173480</xdr:rowOff>
                  </to>
                </anchor>
              </controlPr>
            </control>
          </mc:Choice>
        </mc:AlternateContent>
        <mc:AlternateContent xmlns:mc="http://schemas.openxmlformats.org/markup-compatibility/2006">
          <mc:Choice Requires="x14">
            <control shapeId="2274456" r:id="rId56" name="Option Button 152">
              <controlPr defaultSize="0" autoFill="0" autoLine="0" autoPict="0">
                <anchor moveWithCells="1">
                  <from>
                    <xdr:col>8</xdr:col>
                    <xdr:colOff>236220</xdr:colOff>
                    <xdr:row>44</xdr:row>
                    <xdr:rowOff>937260</xdr:rowOff>
                  </from>
                  <to>
                    <xdr:col>9</xdr:col>
                    <xdr:colOff>0</xdr:colOff>
                    <xdr:row>44</xdr:row>
                    <xdr:rowOff>1173480</xdr:rowOff>
                  </to>
                </anchor>
              </controlPr>
            </control>
          </mc:Choice>
        </mc:AlternateContent>
        <mc:AlternateContent xmlns:mc="http://schemas.openxmlformats.org/markup-compatibility/2006">
          <mc:Choice Requires="x14">
            <control shapeId="2274457" r:id="rId57" name="Option Button 153">
              <controlPr defaultSize="0" autoFill="0" autoLine="0" autoPict="0">
                <anchor moveWithCells="1">
                  <from>
                    <xdr:col>9</xdr:col>
                    <xdr:colOff>236220</xdr:colOff>
                    <xdr:row>44</xdr:row>
                    <xdr:rowOff>937260</xdr:rowOff>
                  </from>
                  <to>
                    <xdr:col>9</xdr:col>
                    <xdr:colOff>541020</xdr:colOff>
                    <xdr:row>44</xdr:row>
                    <xdr:rowOff>1173480</xdr:rowOff>
                  </to>
                </anchor>
              </controlPr>
            </control>
          </mc:Choice>
        </mc:AlternateContent>
        <mc:AlternateContent xmlns:mc="http://schemas.openxmlformats.org/markup-compatibility/2006">
          <mc:Choice Requires="x14">
            <control shapeId="2274459" r:id="rId58" name="GB631">
              <controlPr defaultSize="0" autoFill="0" autoPict="0">
                <anchor moveWithCells="1">
                  <from>
                    <xdr:col>7</xdr:col>
                    <xdr:colOff>99060</xdr:colOff>
                    <xdr:row>44</xdr:row>
                    <xdr:rowOff>655320</xdr:rowOff>
                  </from>
                  <to>
                    <xdr:col>10</xdr:col>
                    <xdr:colOff>0</xdr:colOff>
                    <xdr:row>44</xdr:row>
                    <xdr:rowOff>1706880</xdr:rowOff>
                  </to>
                </anchor>
              </controlPr>
            </control>
          </mc:Choice>
        </mc:AlternateContent>
        <mc:AlternateContent xmlns:mc="http://schemas.openxmlformats.org/markup-compatibility/2006">
          <mc:Choice Requires="x14">
            <control shapeId="2274463" r:id="rId59" name="GB711">
              <controlPr defaultSize="0" autoFill="0" autoPict="0">
                <anchor moveWithCells="1">
                  <from>
                    <xdr:col>7</xdr:col>
                    <xdr:colOff>121920</xdr:colOff>
                    <xdr:row>45</xdr:row>
                    <xdr:rowOff>68580</xdr:rowOff>
                  </from>
                  <to>
                    <xdr:col>10</xdr:col>
                    <xdr:colOff>0</xdr:colOff>
                    <xdr:row>45</xdr:row>
                    <xdr:rowOff>373380</xdr:rowOff>
                  </to>
                </anchor>
              </controlPr>
            </control>
          </mc:Choice>
        </mc:AlternateContent>
        <mc:AlternateContent xmlns:mc="http://schemas.openxmlformats.org/markup-compatibility/2006">
          <mc:Choice Requires="x14">
            <control shapeId="2274464" r:id="rId60" name="Option Button 160">
              <controlPr defaultSize="0" autoFill="0" autoLine="0" autoPict="0">
                <anchor moveWithCells="1">
                  <from>
                    <xdr:col>7</xdr:col>
                    <xdr:colOff>236220</xdr:colOff>
                    <xdr:row>47</xdr:row>
                    <xdr:rowOff>647700</xdr:rowOff>
                  </from>
                  <to>
                    <xdr:col>8</xdr:col>
                    <xdr:colOff>0</xdr:colOff>
                    <xdr:row>47</xdr:row>
                    <xdr:rowOff>883920</xdr:rowOff>
                  </to>
                </anchor>
              </controlPr>
            </control>
          </mc:Choice>
        </mc:AlternateContent>
        <mc:AlternateContent xmlns:mc="http://schemas.openxmlformats.org/markup-compatibility/2006">
          <mc:Choice Requires="x14">
            <control shapeId="2274465" r:id="rId61" name="Option Button 161">
              <controlPr defaultSize="0" autoFill="0" autoLine="0" autoPict="0">
                <anchor moveWithCells="1">
                  <from>
                    <xdr:col>8</xdr:col>
                    <xdr:colOff>236220</xdr:colOff>
                    <xdr:row>47</xdr:row>
                    <xdr:rowOff>647700</xdr:rowOff>
                  </from>
                  <to>
                    <xdr:col>9</xdr:col>
                    <xdr:colOff>0</xdr:colOff>
                    <xdr:row>47</xdr:row>
                    <xdr:rowOff>883920</xdr:rowOff>
                  </to>
                </anchor>
              </controlPr>
            </control>
          </mc:Choice>
        </mc:AlternateContent>
        <mc:AlternateContent xmlns:mc="http://schemas.openxmlformats.org/markup-compatibility/2006">
          <mc:Choice Requires="x14">
            <control shapeId="2274466" r:id="rId62" name="Option Button 162">
              <controlPr defaultSize="0" autoFill="0" autoLine="0" autoPict="0">
                <anchor moveWithCells="1">
                  <from>
                    <xdr:col>9</xdr:col>
                    <xdr:colOff>236220</xdr:colOff>
                    <xdr:row>47</xdr:row>
                    <xdr:rowOff>647700</xdr:rowOff>
                  </from>
                  <to>
                    <xdr:col>9</xdr:col>
                    <xdr:colOff>541020</xdr:colOff>
                    <xdr:row>47</xdr:row>
                    <xdr:rowOff>883920</xdr:rowOff>
                  </to>
                </anchor>
              </controlPr>
            </control>
          </mc:Choice>
        </mc:AlternateContent>
        <mc:AlternateContent xmlns:mc="http://schemas.openxmlformats.org/markup-compatibility/2006">
          <mc:Choice Requires="x14">
            <control shapeId="2274468" r:id="rId63" name="GB721">
              <controlPr defaultSize="0" autoFill="0" autoPict="0">
                <anchor moveWithCells="1">
                  <from>
                    <xdr:col>7</xdr:col>
                    <xdr:colOff>99060</xdr:colOff>
                    <xdr:row>47</xdr:row>
                    <xdr:rowOff>373380</xdr:rowOff>
                  </from>
                  <to>
                    <xdr:col>10</xdr:col>
                    <xdr:colOff>0</xdr:colOff>
                    <xdr:row>47</xdr:row>
                    <xdr:rowOff>1417320</xdr:rowOff>
                  </to>
                </anchor>
              </controlPr>
            </control>
          </mc:Choice>
        </mc:AlternateContent>
        <mc:AlternateContent xmlns:mc="http://schemas.openxmlformats.org/markup-compatibility/2006">
          <mc:Choice Requires="x14">
            <control shapeId="2274469" r:id="rId64" name="Option Button 165">
              <controlPr defaultSize="0" autoFill="0" autoLine="0" autoPict="0">
                <anchor moveWithCells="1">
                  <from>
                    <xdr:col>7</xdr:col>
                    <xdr:colOff>236220</xdr:colOff>
                    <xdr:row>48</xdr:row>
                    <xdr:rowOff>617220</xdr:rowOff>
                  </from>
                  <to>
                    <xdr:col>8</xdr:col>
                    <xdr:colOff>0</xdr:colOff>
                    <xdr:row>48</xdr:row>
                    <xdr:rowOff>861060</xdr:rowOff>
                  </to>
                </anchor>
              </controlPr>
            </control>
          </mc:Choice>
        </mc:AlternateContent>
        <mc:AlternateContent xmlns:mc="http://schemas.openxmlformats.org/markup-compatibility/2006">
          <mc:Choice Requires="x14">
            <control shapeId="2274470" r:id="rId65" name="Option Button 166">
              <controlPr defaultSize="0" autoFill="0" autoLine="0" autoPict="0">
                <anchor moveWithCells="1">
                  <from>
                    <xdr:col>8</xdr:col>
                    <xdr:colOff>236220</xdr:colOff>
                    <xdr:row>48</xdr:row>
                    <xdr:rowOff>617220</xdr:rowOff>
                  </from>
                  <to>
                    <xdr:col>9</xdr:col>
                    <xdr:colOff>0</xdr:colOff>
                    <xdr:row>48</xdr:row>
                    <xdr:rowOff>861060</xdr:rowOff>
                  </to>
                </anchor>
              </controlPr>
            </control>
          </mc:Choice>
        </mc:AlternateContent>
        <mc:AlternateContent xmlns:mc="http://schemas.openxmlformats.org/markup-compatibility/2006">
          <mc:Choice Requires="x14">
            <control shapeId="2274471" r:id="rId66" name="Option Button 167">
              <controlPr defaultSize="0" autoFill="0" autoLine="0" autoPict="0">
                <anchor moveWithCells="1">
                  <from>
                    <xdr:col>9</xdr:col>
                    <xdr:colOff>236220</xdr:colOff>
                    <xdr:row>48</xdr:row>
                    <xdr:rowOff>617220</xdr:rowOff>
                  </from>
                  <to>
                    <xdr:col>9</xdr:col>
                    <xdr:colOff>541020</xdr:colOff>
                    <xdr:row>48</xdr:row>
                    <xdr:rowOff>861060</xdr:rowOff>
                  </to>
                </anchor>
              </controlPr>
            </control>
          </mc:Choice>
        </mc:AlternateContent>
        <mc:AlternateContent xmlns:mc="http://schemas.openxmlformats.org/markup-compatibility/2006">
          <mc:Choice Requires="x14">
            <control shapeId="2274473" r:id="rId67" name="GB722">
              <controlPr defaultSize="0" autoFill="0" autoPict="0">
                <anchor moveWithCells="1">
                  <from>
                    <xdr:col>7</xdr:col>
                    <xdr:colOff>99060</xdr:colOff>
                    <xdr:row>48</xdr:row>
                    <xdr:rowOff>342900</xdr:rowOff>
                  </from>
                  <to>
                    <xdr:col>10</xdr:col>
                    <xdr:colOff>0</xdr:colOff>
                    <xdr:row>48</xdr:row>
                    <xdr:rowOff>1402080</xdr:rowOff>
                  </to>
                </anchor>
              </controlPr>
            </control>
          </mc:Choice>
        </mc:AlternateContent>
        <mc:AlternateContent xmlns:mc="http://schemas.openxmlformats.org/markup-compatibility/2006">
          <mc:Choice Requires="x14">
            <control shapeId="2274477" r:id="rId68" name="GB811">
              <controlPr defaultSize="0" autoFill="0" autoPict="0">
                <anchor moveWithCells="1">
                  <from>
                    <xdr:col>7</xdr:col>
                    <xdr:colOff>121920</xdr:colOff>
                    <xdr:row>49</xdr:row>
                    <xdr:rowOff>30480</xdr:rowOff>
                  </from>
                  <to>
                    <xdr:col>10</xdr:col>
                    <xdr:colOff>0</xdr:colOff>
                    <xdr:row>50</xdr:row>
                    <xdr:rowOff>0</xdr:rowOff>
                  </to>
                </anchor>
              </controlPr>
            </control>
          </mc:Choice>
        </mc:AlternateContent>
        <mc:AlternateContent xmlns:mc="http://schemas.openxmlformats.org/markup-compatibility/2006">
          <mc:Choice Requires="x14">
            <control shapeId="2274481" r:id="rId69" name="GB812">
              <controlPr defaultSize="0" autoFill="0" autoPict="0">
                <anchor moveWithCells="1">
                  <from>
                    <xdr:col>7</xdr:col>
                    <xdr:colOff>121920</xdr:colOff>
                    <xdr:row>50</xdr:row>
                    <xdr:rowOff>22860</xdr:rowOff>
                  </from>
                  <to>
                    <xdr:col>10</xdr:col>
                    <xdr:colOff>0</xdr:colOff>
                    <xdr:row>50</xdr:row>
                    <xdr:rowOff>335280</xdr:rowOff>
                  </to>
                </anchor>
              </controlPr>
            </control>
          </mc:Choice>
        </mc:AlternateContent>
        <mc:AlternateContent xmlns:mc="http://schemas.openxmlformats.org/markup-compatibility/2006">
          <mc:Choice Requires="x14">
            <control shapeId="2274485" r:id="rId70" name="GB813">
              <controlPr defaultSize="0" autoFill="0" autoPict="0">
                <anchor moveWithCells="1">
                  <from>
                    <xdr:col>7</xdr:col>
                    <xdr:colOff>121920</xdr:colOff>
                    <xdr:row>51</xdr:row>
                    <xdr:rowOff>22860</xdr:rowOff>
                  </from>
                  <to>
                    <xdr:col>10</xdr:col>
                    <xdr:colOff>0</xdr:colOff>
                    <xdr:row>51</xdr:row>
                    <xdr:rowOff>335280</xdr:rowOff>
                  </to>
                </anchor>
              </controlPr>
            </control>
          </mc:Choice>
        </mc:AlternateContent>
        <mc:AlternateContent xmlns:mc="http://schemas.openxmlformats.org/markup-compatibility/2006">
          <mc:Choice Requires="x14">
            <control shapeId="2274489" r:id="rId71" name="GB814">
              <controlPr defaultSize="0" autoFill="0" autoPict="0">
                <anchor moveWithCells="1">
                  <from>
                    <xdr:col>7</xdr:col>
                    <xdr:colOff>121920</xdr:colOff>
                    <xdr:row>52</xdr:row>
                    <xdr:rowOff>22860</xdr:rowOff>
                  </from>
                  <to>
                    <xdr:col>10</xdr:col>
                    <xdr:colOff>0</xdr:colOff>
                    <xdr:row>52</xdr:row>
                    <xdr:rowOff>335280</xdr:rowOff>
                  </to>
                </anchor>
              </controlPr>
            </control>
          </mc:Choice>
        </mc:AlternateContent>
        <mc:AlternateContent xmlns:mc="http://schemas.openxmlformats.org/markup-compatibility/2006">
          <mc:Choice Requires="x14">
            <control shapeId="2274493" r:id="rId72" name="GB815">
              <controlPr defaultSize="0" autoFill="0" autoPict="0">
                <anchor moveWithCells="1">
                  <from>
                    <xdr:col>7</xdr:col>
                    <xdr:colOff>121920</xdr:colOff>
                    <xdr:row>53</xdr:row>
                    <xdr:rowOff>22860</xdr:rowOff>
                  </from>
                  <to>
                    <xdr:col>10</xdr:col>
                    <xdr:colOff>0</xdr:colOff>
                    <xdr:row>53</xdr:row>
                    <xdr:rowOff>335280</xdr:rowOff>
                  </to>
                </anchor>
              </controlPr>
            </control>
          </mc:Choice>
        </mc:AlternateContent>
        <mc:AlternateContent xmlns:mc="http://schemas.openxmlformats.org/markup-compatibility/2006">
          <mc:Choice Requires="x14">
            <control shapeId="2274494" r:id="rId73" name="Option Button 190">
              <controlPr defaultSize="0" autoFill="0" autoLine="0" autoPict="0">
                <anchor moveWithCells="1">
                  <from>
                    <xdr:col>7</xdr:col>
                    <xdr:colOff>236220</xdr:colOff>
                    <xdr:row>54</xdr:row>
                    <xdr:rowOff>678180</xdr:rowOff>
                  </from>
                  <to>
                    <xdr:col>8</xdr:col>
                    <xdr:colOff>0</xdr:colOff>
                    <xdr:row>54</xdr:row>
                    <xdr:rowOff>914400</xdr:rowOff>
                  </to>
                </anchor>
              </controlPr>
            </control>
          </mc:Choice>
        </mc:AlternateContent>
        <mc:AlternateContent xmlns:mc="http://schemas.openxmlformats.org/markup-compatibility/2006">
          <mc:Choice Requires="x14">
            <control shapeId="2274495" r:id="rId74" name="Option Button 191">
              <controlPr defaultSize="0" autoFill="0" autoLine="0" autoPict="0">
                <anchor moveWithCells="1">
                  <from>
                    <xdr:col>8</xdr:col>
                    <xdr:colOff>236220</xdr:colOff>
                    <xdr:row>54</xdr:row>
                    <xdr:rowOff>678180</xdr:rowOff>
                  </from>
                  <to>
                    <xdr:col>9</xdr:col>
                    <xdr:colOff>0</xdr:colOff>
                    <xdr:row>54</xdr:row>
                    <xdr:rowOff>914400</xdr:rowOff>
                  </to>
                </anchor>
              </controlPr>
            </control>
          </mc:Choice>
        </mc:AlternateContent>
        <mc:AlternateContent xmlns:mc="http://schemas.openxmlformats.org/markup-compatibility/2006">
          <mc:Choice Requires="x14">
            <control shapeId="2274496" r:id="rId75" name="Option Button 192">
              <controlPr defaultSize="0" autoFill="0" autoLine="0" autoPict="0">
                <anchor moveWithCells="1">
                  <from>
                    <xdr:col>9</xdr:col>
                    <xdr:colOff>236220</xdr:colOff>
                    <xdr:row>54</xdr:row>
                    <xdr:rowOff>678180</xdr:rowOff>
                  </from>
                  <to>
                    <xdr:col>9</xdr:col>
                    <xdr:colOff>541020</xdr:colOff>
                    <xdr:row>54</xdr:row>
                    <xdr:rowOff>914400</xdr:rowOff>
                  </to>
                </anchor>
              </controlPr>
            </control>
          </mc:Choice>
        </mc:AlternateContent>
        <mc:AlternateContent xmlns:mc="http://schemas.openxmlformats.org/markup-compatibility/2006">
          <mc:Choice Requires="x14">
            <control shapeId="2274498" r:id="rId76" name="GB821">
              <controlPr defaultSize="0" autoFill="0" autoPict="0">
                <anchor moveWithCells="1">
                  <from>
                    <xdr:col>7</xdr:col>
                    <xdr:colOff>99060</xdr:colOff>
                    <xdr:row>54</xdr:row>
                    <xdr:rowOff>403860</xdr:rowOff>
                  </from>
                  <to>
                    <xdr:col>10</xdr:col>
                    <xdr:colOff>0</xdr:colOff>
                    <xdr:row>54</xdr:row>
                    <xdr:rowOff>1440180</xdr:rowOff>
                  </to>
                </anchor>
              </controlPr>
            </control>
          </mc:Choice>
        </mc:AlternateContent>
        <mc:AlternateContent xmlns:mc="http://schemas.openxmlformats.org/markup-compatibility/2006">
          <mc:Choice Requires="x14">
            <control shapeId="2274499" r:id="rId77" name="Option Button 195">
              <controlPr defaultSize="0" autoFill="0" autoLine="0" autoPict="0">
                <anchor moveWithCells="1">
                  <from>
                    <xdr:col>7</xdr:col>
                    <xdr:colOff>236220</xdr:colOff>
                    <xdr:row>55</xdr:row>
                    <xdr:rowOff>594360</xdr:rowOff>
                  </from>
                  <to>
                    <xdr:col>8</xdr:col>
                    <xdr:colOff>0</xdr:colOff>
                    <xdr:row>55</xdr:row>
                    <xdr:rowOff>830580</xdr:rowOff>
                  </to>
                </anchor>
              </controlPr>
            </control>
          </mc:Choice>
        </mc:AlternateContent>
        <mc:AlternateContent xmlns:mc="http://schemas.openxmlformats.org/markup-compatibility/2006">
          <mc:Choice Requires="x14">
            <control shapeId="2274500" r:id="rId78" name="Option Button 196">
              <controlPr defaultSize="0" autoFill="0" autoLine="0" autoPict="0">
                <anchor moveWithCells="1">
                  <from>
                    <xdr:col>8</xdr:col>
                    <xdr:colOff>236220</xdr:colOff>
                    <xdr:row>55</xdr:row>
                    <xdr:rowOff>594360</xdr:rowOff>
                  </from>
                  <to>
                    <xdr:col>9</xdr:col>
                    <xdr:colOff>0</xdr:colOff>
                    <xdr:row>55</xdr:row>
                    <xdr:rowOff>830580</xdr:rowOff>
                  </to>
                </anchor>
              </controlPr>
            </control>
          </mc:Choice>
        </mc:AlternateContent>
        <mc:AlternateContent xmlns:mc="http://schemas.openxmlformats.org/markup-compatibility/2006">
          <mc:Choice Requires="x14">
            <control shapeId="2274501" r:id="rId79" name="Option Button 197">
              <controlPr defaultSize="0" autoFill="0" autoLine="0" autoPict="0">
                <anchor moveWithCells="1">
                  <from>
                    <xdr:col>9</xdr:col>
                    <xdr:colOff>236220</xdr:colOff>
                    <xdr:row>55</xdr:row>
                    <xdr:rowOff>594360</xdr:rowOff>
                  </from>
                  <to>
                    <xdr:col>9</xdr:col>
                    <xdr:colOff>541020</xdr:colOff>
                    <xdr:row>55</xdr:row>
                    <xdr:rowOff>830580</xdr:rowOff>
                  </to>
                </anchor>
              </controlPr>
            </control>
          </mc:Choice>
        </mc:AlternateContent>
        <mc:AlternateContent xmlns:mc="http://schemas.openxmlformats.org/markup-compatibility/2006">
          <mc:Choice Requires="x14">
            <control shapeId="2274503" r:id="rId80" name="GB822">
              <controlPr defaultSize="0" autoFill="0" autoPict="0">
                <anchor moveWithCells="1">
                  <from>
                    <xdr:col>7</xdr:col>
                    <xdr:colOff>99060</xdr:colOff>
                    <xdr:row>55</xdr:row>
                    <xdr:rowOff>541020</xdr:rowOff>
                  </from>
                  <to>
                    <xdr:col>10</xdr:col>
                    <xdr:colOff>0</xdr:colOff>
                    <xdr:row>55</xdr:row>
                    <xdr:rowOff>1181100</xdr:rowOff>
                  </to>
                </anchor>
              </controlPr>
            </control>
          </mc:Choice>
        </mc:AlternateContent>
        <mc:AlternateContent xmlns:mc="http://schemas.openxmlformats.org/markup-compatibility/2006">
          <mc:Choice Requires="x14">
            <control shapeId="2274509" r:id="rId81" name="Option Button 205">
              <controlPr defaultSize="0" autoFill="0" autoLine="0" autoPict="0">
                <anchor moveWithCells="1">
                  <from>
                    <xdr:col>7</xdr:col>
                    <xdr:colOff>236220</xdr:colOff>
                    <xdr:row>56</xdr:row>
                    <xdr:rowOff>365760</xdr:rowOff>
                  </from>
                  <to>
                    <xdr:col>8</xdr:col>
                    <xdr:colOff>0</xdr:colOff>
                    <xdr:row>56</xdr:row>
                    <xdr:rowOff>601980</xdr:rowOff>
                  </to>
                </anchor>
              </controlPr>
            </control>
          </mc:Choice>
        </mc:AlternateContent>
        <mc:AlternateContent xmlns:mc="http://schemas.openxmlformats.org/markup-compatibility/2006">
          <mc:Choice Requires="x14">
            <control shapeId="2274510" r:id="rId82" name="Option Button 206">
              <controlPr defaultSize="0" autoFill="0" autoLine="0" autoPict="0">
                <anchor moveWithCells="1">
                  <from>
                    <xdr:col>8</xdr:col>
                    <xdr:colOff>236220</xdr:colOff>
                    <xdr:row>56</xdr:row>
                    <xdr:rowOff>365760</xdr:rowOff>
                  </from>
                  <to>
                    <xdr:col>9</xdr:col>
                    <xdr:colOff>0</xdr:colOff>
                    <xdr:row>56</xdr:row>
                    <xdr:rowOff>601980</xdr:rowOff>
                  </to>
                </anchor>
              </controlPr>
            </control>
          </mc:Choice>
        </mc:AlternateContent>
        <mc:AlternateContent xmlns:mc="http://schemas.openxmlformats.org/markup-compatibility/2006">
          <mc:Choice Requires="x14">
            <control shapeId="2274511" r:id="rId83" name="Option Button 207">
              <controlPr defaultSize="0" autoFill="0" autoLine="0" autoPict="0">
                <anchor moveWithCells="1">
                  <from>
                    <xdr:col>9</xdr:col>
                    <xdr:colOff>236220</xdr:colOff>
                    <xdr:row>56</xdr:row>
                    <xdr:rowOff>365760</xdr:rowOff>
                  </from>
                  <to>
                    <xdr:col>9</xdr:col>
                    <xdr:colOff>541020</xdr:colOff>
                    <xdr:row>56</xdr:row>
                    <xdr:rowOff>601980</xdr:rowOff>
                  </to>
                </anchor>
              </controlPr>
            </control>
          </mc:Choice>
        </mc:AlternateContent>
        <mc:AlternateContent xmlns:mc="http://schemas.openxmlformats.org/markup-compatibility/2006">
          <mc:Choice Requires="x14">
            <control shapeId="2274513" r:id="rId84" name="GB911">
              <controlPr defaultSize="0" autoFill="0" autoPict="0">
                <anchor moveWithCells="1">
                  <from>
                    <xdr:col>7</xdr:col>
                    <xdr:colOff>99060</xdr:colOff>
                    <xdr:row>56</xdr:row>
                    <xdr:rowOff>274320</xdr:rowOff>
                  </from>
                  <to>
                    <xdr:col>10</xdr:col>
                    <xdr:colOff>0</xdr:colOff>
                    <xdr:row>56</xdr:row>
                    <xdr:rowOff>914400</xdr:rowOff>
                  </to>
                </anchor>
              </controlPr>
            </control>
          </mc:Choice>
        </mc:AlternateContent>
        <mc:AlternateContent xmlns:mc="http://schemas.openxmlformats.org/markup-compatibility/2006">
          <mc:Choice Requires="x14">
            <control shapeId="2274514" r:id="rId85" name="Option Button 210">
              <controlPr defaultSize="0" autoFill="0" autoLine="0" autoPict="0">
                <anchor moveWithCells="1">
                  <from>
                    <xdr:col>7</xdr:col>
                    <xdr:colOff>236220</xdr:colOff>
                    <xdr:row>57</xdr:row>
                    <xdr:rowOff>304800</xdr:rowOff>
                  </from>
                  <to>
                    <xdr:col>8</xdr:col>
                    <xdr:colOff>0</xdr:colOff>
                    <xdr:row>57</xdr:row>
                    <xdr:rowOff>541020</xdr:rowOff>
                  </to>
                </anchor>
              </controlPr>
            </control>
          </mc:Choice>
        </mc:AlternateContent>
        <mc:AlternateContent xmlns:mc="http://schemas.openxmlformats.org/markup-compatibility/2006">
          <mc:Choice Requires="x14">
            <control shapeId="2274515" r:id="rId86" name="Option Button 211">
              <controlPr defaultSize="0" autoFill="0" autoLine="0" autoPict="0">
                <anchor moveWithCells="1">
                  <from>
                    <xdr:col>8</xdr:col>
                    <xdr:colOff>236220</xdr:colOff>
                    <xdr:row>57</xdr:row>
                    <xdr:rowOff>304800</xdr:rowOff>
                  </from>
                  <to>
                    <xdr:col>9</xdr:col>
                    <xdr:colOff>0</xdr:colOff>
                    <xdr:row>57</xdr:row>
                    <xdr:rowOff>541020</xdr:rowOff>
                  </to>
                </anchor>
              </controlPr>
            </control>
          </mc:Choice>
        </mc:AlternateContent>
        <mc:AlternateContent xmlns:mc="http://schemas.openxmlformats.org/markup-compatibility/2006">
          <mc:Choice Requires="x14">
            <control shapeId="2274516" r:id="rId87" name="Option Button 212">
              <controlPr defaultSize="0" autoFill="0" autoLine="0" autoPict="0">
                <anchor moveWithCells="1">
                  <from>
                    <xdr:col>9</xdr:col>
                    <xdr:colOff>236220</xdr:colOff>
                    <xdr:row>57</xdr:row>
                    <xdr:rowOff>304800</xdr:rowOff>
                  </from>
                  <to>
                    <xdr:col>9</xdr:col>
                    <xdr:colOff>541020</xdr:colOff>
                    <xdr:row>57</xdr:row>
                    <xdr:rowOff>541020</xdr:rowOff>
                  </to>
                </anchor>
              </controlPr>
            </control>
          </mc:Choice>
        </mc:AlternateContent>
        <mc:AlternateContent xmlns:mc="http://schemas.openxmlformats.org/markup-compatibility/2006">
          <mc:Choice Requires="x14">
            <control shapeId="2274518" r:id="rId88" name="GB912">
              <controlPr defaultSize="0" autoFill="0" autoPict="0">
                <anchor moveWithCells="1">
                  <from>
                    <xdr:col>7</xdr:col>
                    <xdr:colOff>99060</xdr:colOff>
                    <xdr:row>57</xdr:row>
                    <xdr:rowOff>160020</xdr:rowOff>
                  </from>
                  <to>
                    <xdr:col>10</xdr:col>
                    <xdr:colOff>0</xdr:colOff>
                    <xdr:row>57</xdr:row>
                    <xdr:rowOff>800100</xdr:rowOff>
                  </to>
                </anchor>
              </controlPr>
            </control>
          </mc:Choice>
        </mc:AlternateContent>
        <mc:AlternateContent xmlns:mc="http://schemas.openxmlformats.org/markup-compatibility/2006">
          <mc:Choice Requires="x14">
            <control shapeId="2274519" r:id="rId89" name="Option Button 215">
              <controlPr defaultSize="0" autoFill="0" autoLine="0" autoPict="0">
                <anchor moveWithCells="1">
                  <from>
                    <xdr:col>7</xdr:col>
                    <xdr:colOff>236220</xdr:colOff>
                    <xdr:row>58</xdr:row>
                    <xdr:rowOff>342900</xdr:rowOff>
                  </from>
                  <to>
                    <xdr:col>8</xdr:col>
                    <xdr:colOff>0</xdr:colOff>
                    <xdr:row>58</xdr:row>
                    <xdr:rowOff>579120</xdr:rowOff>
                  </to>
                </anchor>
              </controlPr>
            </control>
          </mc:Choice>
        </mc:AlternateContent>
        <mc:AlternateContent xmlns:mc="http://schemas.openxmlformats.org/markup-compatibility/2006">
          <mc:Choice Requires="x14">
            <control shapeId="2274520" r:id="rId90" name="Option Button 216">
              <controlPr defaultSize="0" autoFill="0" autoLine="0" autoPict="0">
                <anchor moveWithCells="1">
                  <from>
                    <xdr:col>8</xdr:col>
                    <xdr:colOff>236220</xdr:colOff>
                    <xdr:row>58</xdr:row>
                    <xdr:rowOff>342900</xdr:rowOff>
                  </from>
                  <to>
                    <xdr:col>9</xdr:col>
                    <xdr:colOff>0</xdr:colOff>
                    <xdr:row>58</xdr:row>
                    <xdr:rowOff>579120</xdr:rowOff>
                  </to>
                </anchor>
              </controlPr>
            </control>
          </mc:Choice>
        </mc:AlternateContent>
        <mc:AlternateContent xmlns:mc="http://schemas.openxmlformats.org/markup-compatibility/2006">
          <mc:Choice Requires="x14">
            <control shapeId="2274521" r:id="rId91" name="Option Button 217">
              <controlPr defaultSize="0" autoFill="0" autoLine="0" autoPict="0">
                <anchor moveWithCells="1">
                  <from>
                    <xdr:col>9</xdr:col>
                    <xdr:colOff>236220</xdr:colOff>
                    <xdr:row>58</xdr:row>
                    <xdr:rowOff>342900</xdr:rowOff>
                  </from>
                  <to>
                    <xdr:col>9</xdr:col>
                    <xdr:colOff>541020</xdr:colOff>
                    <xdr:row>58</xdr:row>
                    <xdr:rowOff>579120</xdr:rowOff>
                  </to>
                </anchor>
              </controlPr>
            </control>
          </mc:Choice>
        </mc:AlternateContent>
        <mc:AlternateContent xmlns:mc="http://schemas.openxmlformats.org/markup-compatibility/2006">
          <mc:Choice Requires="x14">
            <control shapeId="2274523" r:id="rId92" name="GB913">
              <controlPr defaultSize="0" autoFill="0" autoPict="0">
                <anchor moveWithCells="1">
                  <from>
                    <xdr:col>7</xdr:col>
                    <xdr:colOff>99060</xdr:colOff>
                    <xdr:row>58</xdr:row>
                    <xdr:rowOff>236220</xdr:rowOff>
                  </from>
                  <to>
                    <xdr:col>10</xdr:col>
                    <xdr:colOff>0</xdr:colOff>
                    <xdr:row>58</xdr:row>
                    <xdr:rowOff>868680</xdr:rowOff>
                  </to>
                </anchor>
              </controlPr>
            </control>
          </mc:Choice>
        </mc:AlternateContent>
        <mc:AlternateContent xmlns:mc="http://schemas.openxmlformats.org/markup-compatibility/2006">
          <mc:Choice Requires="x14">
            <control shapeId="2274524" r:id="rId93" name="Option Button 220">
              <controlPr defaultSize="0" autoFill="0" autoLine="0" autoPict="0">
                <anchor moveWithCells="1">
                  <from>
                    <xdr:col>7</xdr:col>
                    <xdr:colOff>236220</xdr:colOff>
                    <xdr:row>59</xdr:row>
                    <xdr:rowOff>754380</xdr:rowOff>
                  </from>
                  <to>
                    <xdr:col>8</xdr:col>
                    <xdr:colOff>0</xdr:colOff>
                    <xdr:row>59</xdr:row>
                    <xdr:rowOff>998220</xdr:rowOff>
                  </to>
                </anchor>
              </controlPr>
            </control>
          </mc:Choice>
        </mc:AlternateContent>
        <mc:AlternateContent xmlns:mc="http://schemas.openxmlformats.org/markup-compatibility/2006">
          <mc:Choice Requires="x14">
            <control shapeId="2274525" r:id="rId94" name="Option Button 221">
              <controlPr defaultSize="0" autoFill="0" autoLine="0" autoPict="0">
                <anchor moveWithCells="1">
                  <from>
                    <xdr:col>8</xdr:col>
                    <xdr:colOff>236220</xdr:colOff>
                    <xdr:row>59</xdr:row>
                    <xdr:rowOff>754380</xdr:rowOff>
                  </from>
                  <to>
                    <xdr:col>9</xdr:col>
                    <xdr:colOff>0</xdr:colOff>
                    <xdr:row>59</xdr:row>
                    <xdr:rowOff>998220</xdr:rowOff>
                  </to>
                </anchor>
              </controlPr>
            </control>
          </mc:Choice>
        </mc:AlternateContent>
        <mc:AlternateContent xmlns:mc="http://schemas.openxmlformats.org/markup-compatibility/2006">
          <mc:Choice Requires="x14">
            <control shapeId="2274526" r:id="rId95" name="Option Button 222">
              <controlPr defaultSize="0" autoFill="0" autoLine="0" autoPict="0">
                <anchor moveWithCells="1">
                  <from>
                    <xdr:col>9</xdr:col>
                    <xdr:colOff>236220</xdr:colOff>
                    <xdr:row>59</xdr:row>
                    <xdr:rowOff>754380</xdr:rowOff>
                  </from>
                  <to>
                    <xdr:col>9</xdr:col>
                    <xdr:colOff>541020</xdr:colOff>
                    <xdr:row>59</xdr:row>
                    <xdr:rowOff>998220</xdr:rowOff>
                  </to>
                </anchor>
              </controlPr>
            </control>
          </mc:Choice>
        </mc:AlternateContent>
        <mc:AlternateContent xmlns:mc="http://schemas.openxmlformats.org/markup-compatibility/2006">
          <mc:Choice Requires="x14">
            <control shapeId="2274528" r:id="rId96" name="GB914">
              <controlPr defaultSize="0" autoFill="0" autoPict="0">
                <anchor moveWithCells="1">
                  <from>
                    <xdr:col>7</xdr:col>
                    <xdr:colOff>99060</xdr:colOff>
                    <xdr:row>59</xdr:row>
                    <xdr:rowOff>632460</xdr:rowOff>
                  </from>
                  <to>
                    <xdr:col>10</xdr:col>
                    <xdr:colOff>0</xdr:colOff>
                    <xdr:row>59</xdr:row>
                    <xdr:rowOff>1264920</xdr:rowOff>
                  </to>
                </anchor>
              </controlPr>
            </control>
          </mc:Choice>
        </mc:AlternateContent>
        <mc:AlternateContent xmlns:mc="http://schemas.openxmlformats.org/markup-compatibility/2006">
          <mc:Choice Requires="x14">
            <control shapeId="2274529" r:id="rId97" name="Option Button 225">
              <controlPr defaultSize="0" autoFill="0" autoLine="0" autoPict="0">
                <anchor moveWithCells="1">
                  <from>
                    <xdr:col>7</xdr:col>
                    <xdr:colOff>236220</xdr:colOff>
                    <xdr:row>60</xdr:row>
                    <xdr:rowOff>876300</xdr:rowOff>
                  </from>
                  <to>
                    <xdr:col>8</xdr:col>
                    <xdr:colOff>0</xdr:colOff>
                    <xdr:row>60</xdr:row>
                    <xdr:rowOff>1112520</xdr:rowOff>
                  </to>
                </anchor>
              </controlPr>
            </control>
          </mc:Choice>
        </mc:AlternateContent>
        <mc:AlternateContent xmlns:mc="http://schemas.openxmlformats.org/markup-compatibility/2006">
          <mc:Choice Requires="x14">
            <control shapeId="2274530" r:id="rId98" name="Option Button 226">
              <controlPr defaultSize="0" autoFill="0" autoLine="0" autoPict="0">
                <anchor moveWithCells="1">
                  <from>
                    <xdr:col>8</xdr:col>
                    <xdr:colOff>236220</xdr:colOff>
                    <xdr:row>60</xdr:row>
                    <xdr:rowOff>876300</xdr:rowOff>
                  </from>
                  <to>
                    <xdr:col>9</xdr:col>
                    <xdr:colOff>0</xdr:colOff>
                    <xdr:row>60</xdr:row>
                    <xdr:rowOff>1112520</xdr:rowOff>
                  </to>
                </anchor>
              </controlPr>
            </control>
          </mc:Choice>
        </mc:AlternateContent>
        <mc:AlternateContent xmlns:mc="http://schemas.openxmlformats.org/markup-compatibility/2006">
          <mc:Choice Requires="x14">
            <control shapeId="2274531" r:id="rId99" name="Option Button 227">
              <controlPr defaultSize="0" autoFill="0" autoLine="0" autoPict="0">
                <anchor moveWithCells="1">
                  <from>
                    <xdr:col>9</xdr:col>
                    <xdr:colOff>236220</xdr:colOff>
                    <xdr:row>60</xdr:row>
                    <xdr:rowOff>876300</xdr:rowOff>
                  </from>
                  <to>
                    <xdr:col>9</xdr:col>
                    <xdr:colOff>541020</xdr:colOff>
                    <xdr:row>60</xdr:row>
                    <xdr:rowOff>1112520</xdr:rowOff>
                  </to>
                </anchor>
              </controlPr>
            </control>
          </mc:Choice>
        </mc:AlternateContent>
        <mc:AlternateContent xmlns:mc="http://schemas.openxmlformats.org/markup-compatibility/2006">
          <mc:Choice Requires="x14">
            <control shapeId="2274533" r:id="rId100" name="GB921">
              <controlPr defaultSize="0" autoFill="0" autoPict="0">
                <anchor moveWithCells="1">
                  <from>
                    <xdr:col>7</xdr:col>
                    <xdr:colOff>99060</xdr:colOff>
                    <xdr:row>60</xdr:row>
                    <xdr:rowOff>754380</xdr:rowOff>
                  </from>
                  <to>
                    <xdr:col>10</xdr:col>
                    <xdr:colOff>0</xdr:colOff>
                    <xdr:row>60</xdr:row>
                    <xdr:rowOff>1402080</xdr:rowOff>
                  </to>
                </anchor>
              </controlPr>
            </control>
          </mc:Choice>
        </mc:AlternateContent>
        <mc:AlternateContent xmlns:mc="http://schemas.openxmlformats.org/markup-compatibility/2006">
          <mc:Choice Requires="x14">
            <control shapeId="2274537" r:id="rId101" name="GB1111">
              <controlPr defaultSize="0" autoFill="0" autoPict="0">
                <anchor moveWithCells="1">
                  <from>
                    <xdr:col>7</xdr:col>
                    <xdr:colOff>121920</xdr:colOff>
                    <xdr:row>63</xdr:row>
                    <xdr:rowOff>22860</xdr:rowOff>
                  </from>
                  <to>
                    <xdr:col>10</xdr:col>
                    <xdr:colOff>0</xdr:colOff>
                    <xdr:row>63</xdr:row>
                    <xdr:rowOff>335280</xdr:rowOff>
                  </to>
                </anchor>
              </controlPr>
            </control>
          </mc:Choice>
        </mc:AlternateContent>
        <mc:AlternateContent xmlns:mc="http://schemas.openxmlformats.org/markup-compatibility/2006">
          <mc:Choice Requires="x14">
            <control shapeId="2274539" r:id="rId102" name="Option Button 235">
              <controlPr defaultSize="0" autoFill="0" autoLine="0" autoPict="0">
                <anchor moveWithCells="1">
                  <from>
                    <xdr:col>7</xdr:col>
                    <xdr:colOff>236220</xdr:colOff>
                    <xdr:row>64</xdr:row>
                    <xdr:rowOff>670560</xdr:rowOff>
                  </from>
                  <to>
                    <xdr:col>8</xdr:col>
                    <xdr:colOff>0</xdr:colOff>
                    <xdr:row>64</xdr:row>
                    <xdr:rowOff>914400</xdr:rowOff>
                  </to>
                </anchor>
              </controlPr>
            </control>
          </mc:Choice>
        </mc:AlternateContent>
        <mc:AlternateContent xmlns:mc="http://schemas.openxmlformats.org/markup-compatibility/2006">
          <mc:Choice Requires="x14">
            <control shapeId="2274540" r:id="rId103" name="Option Button 236">
              <controlPr defaultSize="0" autoFill="0" autoLine="0" autoPict="0">
                <anchor moveWithCells="1">
                  <from>
                    <xdr:col>8</xdr:col>
                    <xdr:colOff>236220</xdr:colOff>
                    <xdr:row>64</xdr:row>
                    <xdr:rowOff>670560</xdr:rowOff>
                  </from>
                  <to>
                    <xdr:col>9</xdr:col>
                    <xdr:colOff>0</xdr:colOff>
                    <xdr:row>64</xdr:row>
                    <xdr:rowOff>914400</xdr:rowOff>
                  </to>
                </anchor>
              </controlPr>
            </control>
          </mc:Choice>
        </mc:AlternateContent>
        <mc:AlternateContent xmlns:mc="http://schemas.openxmlformats.org/markup-compatibility/2006">
          <mc:Choice Requires="x14">
            <control shapeId="2274541" r:id="rId104" name="Option Button 237">
              <controlPr defaultSize="0" autoFill="0" autoLine="0" autoPict="0">
                <anchor moveWithCells="1">
                  <from>
                    <xdr:col>9</xdr:col>
                    <xdr:colOff>236220</xdr:colOff>
                    <xdr:row>64</xdr:row>
                    <xdr:rowOff>670560</xdr:rowOff>
                  </from>
                  <to>
                    <xdr:col>9</xdr:col>
                    <xdr:colOff>541020</xdr:colOff>
                    <xdr:row>64</xdr:row>
                    <xdr:rowOff>914400</xdr:rowOff>
                  </to>
                </anchor>
              </controlPr>
            </control>
          </mc:Choice>
        </mc:AlternateContent>
        <mc:AlternateContent xmlns:mc="http://schemas.openxmlformats.org/markup-compatibility/2006">
          <mc:Choice Requires="x14">
            <control shapeId="2274543" r:id="rId105" name="GB1112">
              <controlPr defaultSize="0" autoFill="0" autoPict="0">
                <anchor moveWithCells="1">
                  <from>
                    <xdr:col>7</xdr:col>
                    <xdr:colOff>99060</xdr:colOff>
                    <xdr:row>64</xdr:row>
                    <xdr:rowOff>563880</xdr:rowOff>
                  </from>
                  <to>
                    <xdr:col>10</xdr:col>
                    <xdr:colOff>0</xdr:colOff>
                    <xdr:row>64</xdr:row>
                    <xdr:rowOff>1203960</xdr:rowOff>
                  </to>
                </anchor>
              </controlPr>
            </control>
          </mc:Choice>
        </mc:AlternateContent>
        <mc:AlternateContent xmlns:mc="http://schemas.openxmlformats.org/markup-compatibility/2006">
          <mc:Choice Requires="x14">
            <control shapeId="2274547" r:id="rId106" name="GB1121">
              <controlPr defaultSize="0" autoFill="0" autoPict="0">
                <anchor moveWithCells="1">
                  <from>
                    <xdr:col>7</xdr:col>
                    <xdr:colOff>121920</xdr:colOff>
                    <xdr:row>65</xdr:row>
                    <xdr:rowOff>22860</xdr:rowOff>
                  </from>
                  <to>
                    <xdr:col>10</xdr:col>
                    <xdr:colOff>0</xdr:colOff>
                    <xdr:row>65</xdr:row>
                    <xdr:rowOff>335280</xdr:rowOff>
                  </to>
                </anchor>
              </controlPr>
            </control>
          </mc:Choice>
        </mc:AlternateContent>
        <mc:AlternateContent xmlns:mc="http://schemas.openxmlformats.org/markup-compatibility/2006">
          <mc:Choice Requires="x14">
            <control shapeId="2274551" r:id="rId107" name="GB1122">
              <controlPr defaultSize="0" autoFill="0" autoPict="0">
                <anchor moveWithCells="1">
                  <from>
                    <xdr:col>7</xdr:col>
                    <xdr:colOff>121920</xdr:colOff>
                    <xdr:row>66</xdr:row>
                    <xdr:rowOff>22860</xdr:rowOff>
                  </from>
                  <to>
                    <xdr:col>10</xdr:col>
                    <xdr:colOff>0</xdr:colOff>
                    <xdr:row>66</xdr:row>
                    <xdr:rowOff>335280</xdr:rowOff>
                  </to>
                </anchor>
              </controlPr>
            </control>
          </mc:Choice>
        </mc:AlternateContent>
        <mc:AlternateContent xmlns:mc="http://schemas.openxmlformats.org/markup-compatibility/2006">
          <mc:Choice Requires="x14">
            <control shapeId="2274555" r:id="rId108" name="GB1123">
              <controlPr defaultSize="0" autoFill="0" autoPict="0">
                <anchor moveWithCells="1">
                  <from>
                    <xdr:col>7</xdr:col>
                    <xdr:colOff>121920</xdr:colOff>
                    <xdr:row>67</xdr:row>
                    <xdr:rowOff>22860</xdr:rowOff>
                  </from>
                  <to>
                    <xdr:col>10</xdr:col>
                    <xdr:colOff>0</xdr:colOff>
                    <xdr:row>67</xdr:row>
                    <xdr:rowOff>335280</xdr:rowOff>
                  </to>
                </anchor>
              </controlPr>
            </control>
          </mc:Choice>
        </mc:AlternateContent>
        <mc:AlternateContent xmlns:mc="http://schemas.openxmlformats.org/markup-compatibility/2006">
          <mc:Choice Requires="x14">
            <control shapeId="2274559" r:id="rId109" name="GB1131">
              <controlPr defaultSize="0" autoFill="0" autoPict="0">
                <anchor moveWithCells="1">
                  <from>
                    <xdr:col>7</xdr:col>
                    <xdr:colOff>121920</xdr:colOff>
                    <xdr:row>68</xdr:row>
                    <xdr:rowOff>22860</xdr:rowOff>
                  </from>
                  <to>
                    <xdr:col>10</xdr:col>
                    <xdr:colOff>0</xdr:colOff>
                    <xdr:row>68</xdr:row>
                    <xdr:rowOff>335280</xdr:rowOff>
                  </to>
                </anchor>
              </controlPr>
            </control>
          </mc:Choice>
        </mc:AlternateContent>
        <mc:AlternateContent xmlns:mc="http://schemas.openxmlformats.org/markup-compatibility/2006">
          <mc:Choice Requires="x14">
            <control shapeId="2274563" r:id="rId110" name="GB1132">
              <controlPr defaultSize="0" autoFill="0" autoPict="0">
                <anchor moveWithCells="1">
                  <from>
                    <xdr:col>7</xdr:col>
                    <xdr:colOff>121920</xdr:colOff>
                    <xdr:row>69</xdr:row>
                    <xdr:rowOff>22860</xdr:rowOff>
                  </from>
                  <to>
                    <xdr:col>10</xdr:col>
                    <xdr:colOff>0</xdr:colOff>
                    <xdr:row>69</xdr:row>
                    <xdr:rowOff>335280</xdr:rowOff>
                  </to>
                </anchor>
              </controlPr>
            </control>
          </mc:Choice>
        </mc:AlternateContent>
        <mc:AlternateContent xmlns:mc="http://schemas.openxmlformats.org/markup-compatibility/2006">
          <mc:Choice Requires="x14">
            <control shapeId="2274569" r:id="rId111" name="Option Button 265">
              <controlPr defaultSize="0" autoFill="0" autoLine="0" autoPict="0">
                <anchor moveWithCells="1">
                  <from>
                    <xdr:col>7</xdr:col>
                    <xdr:colOff>236220</xdr:colOff>
                    <xdr:row>70</xdr:row>
                    <xdr:rowOff>579120</xdr:rowOff>
                  </from>
                  <to>
                    <xdr:col>8</xdr:col>
                    <xdr:colOff>0</xdr:colOff>
                    <xdr:row>70</xdr:row>
                    <xdr:rowOff>822960</xdr:rowOff>
                  </to>
                </anchor>
              </controlPr>
            </control>
          </mc:Choice>
        </mc:AlternateContent>
        <mc:AlternateContent xmlns:mc="http://schemas.openxmlformats.org/markup-compatibility/2006">
          <mc:Choice Requires="x14">
            <control shapeId="2274570" r:id="rId112" name="Option Button 266">
              <controlPr defaultSize="0" autoFill="0" autoLine="0" autoPict="0">
                <anchor moveWithCells="1">
                  <from>
                    <xdr:col>8</xdr:col>
                    <xdr:colOff>236220</xdr:colOff>
                    <xdr:row>70</xdr:row>
                    <xdr:rowOff>579120</xdr:rowOff>
                  </from>
                  <to>
                    <xdr:col>9</xdr:col>
                    <xdr:colOff>0</xdr:colOff>
                    <xdr:row>70</xdr:row>
                    <xdr:rowOff>822960</xdr:rowOff>
                  </to>
                </anchor>
              </controlPr>
            </control>
          </mc:Choice>
        </mc:AlternateContent>
        <mc:AlternateContent xmlns:mc="http://schemas.openxmlformats.org/markup-compatibility/2006">
          <mc:Choice Requires="x14">
            <control shapeId="2274571" r:id="rId113" name="Option Button 267">
              <controlPr defaultSize="0" autoFill="0" autoLine="0" autoPict="0">
                <anchor moveWithCells="1">
                  <from>
                    <xdr:col>9</xdr:col>
                    <xdr:colOff>236220</xdr:colOff>
                    <xdr:row>70</xdr:row>
                    <xdr:rowOff>579120</xdr:rowOff>
                  </from>
                  <to>
                    <xdr:col>9</xdr:col>
                    <xdr:colOff>541020</xdr:colOff>
                    <xdr:row>70</xdr:row>
                    <xdr:rowOff>822960</xdr:rowOff>
                  </to>
                </anchor>
              </controlPr>
            </control>
          </mc:Choice>
        </mc:AlternateContent>
        <mc:AlternateContent xmlns:mc="http://schemas.openxmlformats.org/markup-compatibility/2006">
          <mc:Choice Requires="x14">
            <control shapeId="2274573" r:id="rId114" name="GB1141">
              <controlPr defaultSize="0" autoFill="0" autoPict="0">
                <anchor moveWithCells="1">
                  <from>
                    <xdr:col>7</xdr:col>
                    <xdr:colOff>99060</xdr:colOff>
                    <xdr:row>70</xdr:row>
                    <xdr:rowOff>502920</xdr:rowOff>
                  </from>
                  <to>
                    <xdr:col>10</xdr:col>
                    <xdr:colOff>0</xdr:colOff>
                    <xdr:row>70</xdr:row>
                    <xdr:rowOff>1150620</xdr:rowOff>
                  </to>
                </anchor>
              </controlPr>
            </control>
          </mc:Choice>
        </mc:AlternateContent>
        <mc:AlternateContent xmlns:mc="http://schemas.openxmlformats.org/markup-compatibility/2006">
          <mc:Choice Requires="x14">
            <control shapeId="2274577" r:id="rId115" name="GB1142">
              <controlPr defaultSize="0" autoFill="0" autoPict="0">
                <anchor moveWithCells="1">
                  <from>
                    <xdr:col>7</xdr:col>
                    <xdr:colOff>121920</xdr:colOff>
                    <xdr:row>71</xdr:row>
                    <xdr:rowOff>22860</xdr:rowOff>
                  </from>
                  <to>
                    <xdr:col>10</xdr:col>
                    <xdr:colOff>0</xdr:colOff>
                    <xdr:row>71</xdr:row>
                    <xdr:rowOff>335280</xdr:rowOff>
                  </to>
                </anchor>
              </controlPr>
            </control>
          </mc:Choice>
        </mc:AlternateContent>
        <mc:AlternateContent xmlns:mc="http://schemas.openxmlformats.org/markup-compatibility/2006">
          <mc:Choice Requires="x14">
            <control shapeId="2274581" r:id="rId116" name="GB1143">
              <controlPr defaultSize="0" autoFill="0" autoPict="0">
                <anchor moveWithCells="1">
                  <from>
                    <xdr:col>7</xdr:col>
                    <xdr:colOff>121920</xdr:colOff>
                    <xdr:row>72</xdr:row>
                    <xdr:rowOff>22860</xdr:rowOff>
                  </from>
                  <to>
                    <xdr:col>10</xdr:col>
                    <xdr:colOff>0</xdr:colOff>
                    <xdr:row>72</xdr:row>
                    <xdr:rowOff>335280</xdr:rowOff>
                  </to>
                </anchor>
              </controlPr>
            </control>
          </mc:Choice>
        </mc:AlternateContent>
        <mc:AlternateContent xmlns:mc="http://schemas.openxmlformats.org/markup-compatibility/2006">
          <mc:Choice Requires="x14">
            <control shapeId="2274585" r:id="rId117" name="GB1144">
              <controlPr defaultSize="0" autoFill="0" autoPict="0">
                <anchor moveWithCells="1">
                  <from>
                    <xdr:col>7</xdr:col>
                    <xdr:colOff>121920</xdr:colOff>
                    <xdr:row>73</xdr:row>
                    <xdr:rowOff>22860</xdr:rowOff>
                  </from>
                  <to>
                    <xdr:col>10</xdr:col>
                    <xdr:colOff>0</xdr:colOff>
                    <xdr:row>73</xdr:row>
                    <xdr:rowOff>335280</xdr:rowOff>
                  </to>
                </anchor>
              </controlPr>
            </control>
          </mc:Choice>
        </mc:AlternateContent>
        <mc:AlternateContent xmlns:mc="http://schemas.openxmlformats.org/markup-compatibility/2006">
          <mc:Choice Requires="x14">
            <control shapeId="2274589" r:id="rId118" name="GB1151">
              <controlPr defaultSize="0" autoFill="0" autoPict="0">
                <anchor moveWithCells="1">
                  <from>
                    <xdr:col>7</xdr:col>
                    <xdr:colOff>121920</xdr:colOff>
                    <xdr:row>74</xdr:row>
                    <xdr:rowOff>22860</xdr:rowOff>
                  </from>
                  <to>
                    <xdr:col>10</xdr:col>
                    <xdr:colOff>0</xdr:colOff>
                    <xdr:row>74</xdr:row>
                    <xdr:rowOff>335280</xdr:rowOff>
                  </to>
                </anchor>
              </controlPr>
            </control>
          </mc:Choice>
        </mc:AlternateContent>
        <mc:AlternateContent xmlns:mc="http://schemas.openxmlformats.org/markup-compatibility/2006">
          <mc:Choice Requires="x14">
            <control shapeId="2274593" r:id="rId119" name="GB1161">
              <controlPr defaultSize="0" autoFill="0" autoPict="0">
                <anchor moveWithCells="1">
                  <from>
                    <xdr:col>7</xdr:col>
                    <xdr:colOff>121920</xdr:colOff>
                    <xdr:row>76</xdr:row>
                    <xdr:rowOff>22860</xdr:rowOff>
                  </from>
                  <to>
                    <xdr:col>10</xdr:col>
                    <xdr:colOff>0</xdr:colOff>
                    <xdr:row>76</xdr:row>
                    <xdr:rowOff>335280</xdr:rowOff>
                  </to>
                </anchor>
              </controlPr>
            </control>
          </mc:Choice>
        </mc:AlternateContent>
        <mc:AlternateContent xmlns:mc="http://schemas.openxmlformats.org/markup-compatibility/2006">
          <mc:Choice Requires="x14">
            <control shapeId="2274597" r:id="rId120" name="GB1162">
              <controlPr defaultSize="0" autoFill="0" autoPict="0">
                <anchor moveWithCells="1">
                  <from>
                    <xdr:col>7</xdr:col>
                    <xdr:colOff>121920</xdr:colOff>
                    <xdr:row>77</xdr:row>
                    <xdr:rowOff>22860</xdr:rowOff>
                  </from>
                  <to>
                    <xdr:col>10</xdr:col>
                    <xdr:colOff>0</xdr:colOff>
                    <xdr:row>77</xdr:row>
                    <xdr:rowOff>335280</xdr:rowOff>
                  </to>
                </anchor>
              </controlPr>
            </control>
          </mc:Choice>
        </mc:AlternateContent>
        <mc:AlternateContent xmlns:mc="http://schemas.openxmlformats.org/markup-compatibility/2006">
          <mc:Choice Requires="x14">
            <control shapeId="2274601" r:id="rId121" name="GB1163">
              <controlPr defaultSize="0" autoFill="0" autoPict="0">
                <anchor moveWithCells="1">
                  <from>
                    <xdr:col>7</xdr:col>
                    <xdr:colOff>121920</xdr:colOff>
                    <xdr:row>78</xdr:row>
                    <xdr:rowOff>22860</xdr:rowOff>
                  </from>
                  <to>
                    <xdr:col>10</xdr:col>
                    <xdr:colOff>0</xdr:colOff>
                    <xdr:row>78</xdr:row>
                    <xdr:rowOff>335280</xdr:rowOff>
                  </to>
                </anchor>
              </controlPr>
            </control>
          </mc:Choice>
        </mc:AlternateContent>
        <mc:AlternateContent xmlns:mc="http://schemas.openxmlformats.org/markup-compatibility/2006">
          <mc:Choice Requires="x14">
            <control shapeId="2274605" r:id="rId122" name="GB1164">
              <controlPr defaultSize="0" autoFill="0" autoPict="0">
                <anchor moveWithCells="1">
                  <from>
                    <xdr:col>7</xdr:col>
                    <xdr:colOff>121920</xdr:colOff>
                    <xdr:row>79</xdr:row>
                    <xdr:rowOff>22860</xdr:rowOff>
                  </from>
                  <to>
                    <xdr:col>10</xdr:col>
                    <xdr:colOff>0</xdr:colOff>
                    <xdr:row>79</xdr:row>
                    <xdr:rowOff>335280</xdr:rowOff>
                  </to>
                </anchor>
              </controlPr>
            </control>
          </mc:Choice>
        </mc:AlternateContent>
        <mc:AlternateContent xmlns:mc="http://schemas.openxmlformats.org/markup-compatibility/2006">
          <mc:Choice Requires="x14">
            <control shapeId="2274609" r:id="rId123" name="GB1171">
              <controlPr defaultSize="0" autoFill="0" autoPict="0">
                <anchor moveWithCells="1">
                  <from>
                    <xdr:col>7</xdr:col>
                    <xdr:colOff>121920</xdr:colOff>
                    <xdr:row>80</xdr:row>
                    <xdr:rowOff>0</xdr:rowOff>
                  </from>
                  <to>
                    <xdr:col>10</xdr:col>
                    <xdr:colOff>0</xdr:colOff>
                    <xdr:row>80</xdr:row>
                    <xdr:rowOff>297180</xdr:rowOff>
                  </to>
                </anchor>
              </controlPr>
            </control>
          </mc:Choice>
        </mc:AlternateContent>
        <mc:AlternateContent xmlns:mc="http://schemas.openxmlformats.org/markup-compatibility/2006">
          <mc:Choice Requires="x14">
            <control shapeId="2274610" r:id="rId124" name="Option Button 306">
              <controlPr defaultSize="0" autoFill="0" autoLine="0" autoPict="0">
                <anchor moveWithCells="1">
                  <from>
                    <xdr:col>7</xdr:col>
                    <xdr:colOff>236220</xdr:colOff>
                    <xdr:row>82</xdr:row>
                    <xdr:rowOff>762000</xdr:rowOff>
                  </from>
                  <to>
                    <xdr:col>8</xdr:col>
                    <xdr:colOff>0</xdr:colOff>
                    <xdr:row>82</xdr:row>
                    <xdr:rowOff>1013460</xdr:rowOff>
                  </to>
                </anchor>
              </controlPr>
            </control>
          </mc:Choice>
        </mc:AlternateContent>
        <mc:AlternateContent xmlns:mc="http://schemas.openxmlformats.org/markup-compatibility/2006">
          <mc:Choice Requires="x14">
            <control shapeId="2274611" r:id="rId125" name="Option Button 307">
              <controlPr defaultSize="0" autoFill="0" autoLine="0" autoPict="0">
                <anchor moveWithCells="1">
                  <from>
                    <xdr:col>8</xdr:col>
                    <xdr:colOff>236220</xdr:colOff>
                    <xdr:row>82</xdr:row>
                    <xdr:rowOff>762000</xdr:rowOff>
                  </from>
                  <to>
                    <xdr:col>9</xdr:col>
                    <xdr:colOff>0</xdr:colOff>
                    <xdr:row>82</xdr:row>
                    <xdr:rowOff>1013460</xdr:rowOff>
                  </to>
                </anchor>
              </controlPr>
            </control>
          </mc:Choice>
        </mc:AlternateContent>
        <mc:AlternateContent xmlns:mc="http://schemas.openxmlformats.org/markup-compatibility/2006">
          <mc:Choice Requires="x14">
            <control shapeId="2274612" r:id="rId126" name="Option Button 308">
              <controlPr defaultSize="0" autoFill="0" autoLine="0" autoPict="0">
                <anchor moveWithCells="1">
                  <from>
                    <xdr:col>9</xdr:col>
                    <xdr:colOff>236220</xdr:colOff>
                    <xdr:row>82</xdr:row>
                    <xdr:rowOff>762000</xdr:rowOff>
                  </from>
                  <to>
                    <xdr:col>9</xdr:col>
                    <xdr:colOff>541020</xdr:colOff>
                    <xdr:row>82</xdr:row>
                    <xdr:rowOff>1013460</xdr:rowOff>
                  </to>
                </anchor>
              </controlPr>
            </control>
          </mc:Choice>
        </mc:AlternateContent>
        <mc:AlternateContent xmlns:mc="http://schemas.openxmlformats.org/markup-compatibility/2006">
          <mc:Choice Requires="x14">
            <control shapeId="2274614" r:id="rId127" name="GB1211">
              <controlPr defaultSize="0" autoFill="0" autoPict="0">
                <anchor moveWithCells="1">
                  <from>
                    <xdr:col>7</xdr:col>
                    <xdr:colOff>99060</xdr:colOff>
                    <xdr:row>82</xdr:row>
                    <xdr:rowOff>655320</xdr:rowOff>
                  </from>
                  <to>
                    <xdr:col>10</xdr:col>
                    <xdr:colOff>0</xdr:colOff>
                    <xdr:row>82</xdr:row>
                    <xdr:rowOff>1303020</xdr:rowOff>
                  </to>
                </anchor>
              </controlPr>
            </control>
          </mc:Choice>
        </mc:AlternateContent>
        <mc:AlternateContent xmlns:mc="http://schemas.openxmlformats.org/markup-compatibility/2006">
          <mc:Choice Requires="x14">
            <control shapeId="2274618" r:id="rId128" name="GB1221">
              <controlPr defaultSize="0" autoFill="0" autoPict="0">
                <anchor moveWithCells="1">
                  <from>
                    <xdr:col>7</xdr:col>
                    <xdr:colOff>121920</xdr:colOff>
                    <xdr:row>84</xdr:row>
                    <xdr:rowOff>22860</xdr:rowOff>
                  </from>
                  <to>
                    <xdr:col>10</xdr:col>
                    <xdr:colOff>0</xdr:colOff>
                    <xdr:row>84</xdr:row>
                    <xdr:rowOff>335280</xdr:rowOff>
                  </to>
                </anchor>
              </controlPr>
            </control>
          </mc:Choice>
        </mc:AlternateContent>
        <mc:AlternateContent xmlns:mc="http://schemas.openxmlformats.org/markup-compatibility/2006">
          <mc:Choice Requires="x14">
            <control shapeId="2274622" r:id="rId129" name="GB1222">
              <controlPr defaultSize="0" autoFill="0" autoPict="0">
                <anchor moveWithCells="1">
                  <from>
                    <xdr:col>7</xdr:col>
                    <xdr:colOff>121920</xdr:colOff>
                    <xdr:row>84</xdr:row>
                    <xdr:rowOff>342900</xdr:rowOff>
                  </from>
                  <to>
                    <xdr:col>10</xdr:col>
                    <xdr:colOff>0</xdr:colOff>
                    <xdr:row>85</xdr:row>
                    <xdr:rowOff>297180</xdr:rowOff>
                  </to>
                </anchor>
              </controlPr>
            </control>
          </mc:Choice>
        </mc:AlternateContent>
        <mc:AlternateContent xmlns:mc="http://schemas.openxmlformats.org/markup-compatibility/2006">
          <mc:Choice Requires="x14">
            <control shapeId="2274626" r:id="rId130" name="GB1223">
              <controlPr defaultSize="0" autoFill="0" autoPict="0">
                <anchor moveWithCells="1">
                  <from>
                    <xdr:col>7</xdr:col>
                    <xdr:colOff>121920</xdr:colOff>
                    <xdr:row>86</xdr:row>
                    <xdr:rowOff>22860</xdr:rowOff>
                  </from>
                  <to>
                    <xdr:col>10</xdr:col>
                    <xdr:colOff>0</xdr:colOff>
                    <xdr:row>86</xdr:row>
                    <xdr:rowOff>335280</xdr:rowOff>
                  </to>
                </anchor>
              </controlPr>
            </control>
          </mc:Choice>
        </mc:AlternateContent>
        <mc:AlternateContent xmlns:mc="http://schemas.openxmlformats.org/markup-compatibility/2006">
          <mc:Choice Requires="x14">
            <control shapeId="2274630" r:id="rId131" name="GB1224">
              <controlPr defaultSize="0" autoFill="0" autoPict="0">
                <anchor moveWithCells="1">
                  <from>
                    <xdr:col>7</xdr:col>
                    <xdr:colOff>121920</xdr:colOff>
                    <xdr:row>87</xdr:row>
                    <xdr:rowOff>22860</xdr:rowOff>
                  </from>
                  <to>
                    <xdr:col>10</xdr:col>
                    <xdr:colOff>0</xdr:colOff>
                    <xdr:row>87</xdr:row>
                    <xdr:rowOff>335280</xdr:rowOff>
                  </to>
                </anchor>
              </controlPr>
            </control>
          </mc:Choice>
        </mc:AlternateContent>
        <mc:AlternateContent xmlns:mc="http://schemas.openxmlformats.org/markup-compatibility/2006">
          <mc:Choice Requires="x14">
            <control shapeId="2274634" r:id="rId132" name="GB1225">
              <controlPr defaultSize="0" autoFill="0" autoPict="0">
                <anchor moveWithCells="1">
                  <from>
                    <xdr:col>7</xdr:col>
                    <xdr:colOff>121920</xdr:colOff>
                    <xdr:row>87</xdr:row>
                    <xdr:rowOff>335280</xdr:rowOff>
                  </from>
                  <to>
                    <xdr:col>10</xdr:col>
                    <xdr:colOff>0</xdr:colOff>
                    <xdr:row>88</xdr:row>
                    <xdr:rowOff>297180</xdr:rowOff>
                  </to>
                </anchor>
              </controlPr>
            </control>
          </mc:Choice>
        </mc:AlternateContent>
        <mc:AlternateContent xmlns:mc="http://schemas.openxmlformats.org/markup-compatibility/2006">
          <mc:Choice Requires="x14">
            <control shapeId="2274638" r:id="rId133" name="GB1231">
              <controlPr defaultSize="0" autoFill="0" autoPict="0">
                <anchor moveWithCells="1">
                  <from>
                    <xdr:col>7</xdr:col>
                    <xdr:colOff>121920</xdr:colOff>
                    <xdr:row>89</xdr:row>
                    <xdr:rowOff>22860</xdr:rowOff>
                  </from>
                  <to>
                    <xdr:col>10</xdr:col>
                    <xdr:colOff>0</xdr:colOff>
                    <xdr:row>89</xdr:row>
                    <xdr:rowOff>335280</xdr:rowOff>
                  </to>
                </anchor>
              </controlPr>
            </control>
          </mc:Choice>
        </mc:AlternateContent>
        <mc:AlternateContent xmlns:mc="http://schemas.openxmlformats.org/markup-compatibility/2006">
          <mc:Choice Requires="x14">
            <control shapeId="2274642" r:id="rId134" name="GB1232">
              <controlPr defaultSize="0" autoFill="0" autoPict="0">
                <anchor moveWithCells="1">
                  <from>
                    <xdr:col>7</xdr:col>
                    <xdr:colOff>121920</xdr:colOff>
                    <xdr:row>90</xdr:row>
                    <xdr:rowOff>22860</xdr:rowOff>
                  </from>
                  <to>
                    <xdr:col>10</xdr:col>
                    <xdr:colOff>0</xdr:colOff>
                    <xdr:row>90</xdr:row>
                    <xdr:rowOff>335280</xdr:rowOff>
                  </to>
                </anchor>
              </controlPr>
            </control>
          </mc:Choice>
        </mc:AlternateContent>
        <mc:AlternateContent xmlns:mc="http://schemas.openxmlformats.org/markup-compatibility/2006">
          <mc:Choice Requires="x14">
            <control shapeId="2274646" r:id="rId135" name="GB1233">
              <controlPr defaultSize="0" autoFill="0" autoPict="0">
                <anchor moveWithCells="1">
                  <from>
                    <xdr:col>7</xdr:col>
                    <xdr:colOff>121920</xdr:colOff>
                    <xdr:row>91</xdr:row>
                    <xdr:rowOff>22860</xdr:rowOff>
                  </from>
                  <to>
                    <xdr:col>10</xdr:col>
                    <xdr:colOff>0</xdr:colOff>
                    <xdr:row>91</xdr:row>
                    <xdr:rowOff>335280</xdr:rowOff>
                  </to>
                </anchor>
              </controlPr>
            </control>
          </mc:Choice>
        </mc:AlternateContent>
        <mc:AlternateContent xmlns:mc="http://schemas.openxmlformats.org/markup-compatibility/2006">
          <mc:Choice Requires="x14">
            <control shapeId="2274650" r:id="rId136" name="GB1234">
              <controlPr defaultSize="0" autoFill="0" autoPict="0">
                <anchor moveWithCells="1">
                  <from>
                    <xdr:col>7</xdr:col>
                    <xdr:colOff>121920</xdr:colOff>
                    <xdr:row>92</xdr:row>
                    <xdr:rowOff>7620</xdr:rowOff>
                  </from>
                  <to>
                    <xdr:col>10</xdr:col>
                    <xdr:colOff>0</xdr:colOff>
                    <xdr:row>92</xdr:row>
                    <xdr:rowOff>312420</xdr:rowOff>
                  </to>
                </anchor>
              </controlPr>
            </control>
          </mc:Choice>
        </mc:AlternateContent>
        <mc:AlternateContent xmlns:mc="http://schemas.openxmlformats.org/markup-compatibility/2006">
          <mc:Choice Requires="x14">
            <control shapeId="2274654" r:id="rId137" name="GB1241">
              <controlPr defaultSize="0" autoFill="0" autoPict="0">
                <anchor moveWithCells="1">
                  <from>
                    <xdr:col>7</xdr:col>
                    <xdr:colOff>121920</xdr:colOff>
                    <xdr:row>94</xdr:row>
                    <xdr:rowOff>38100</xdr:rowOff>
                  </from>
                  <to>
                    <xdr:col>10</xdr:col>
                    <xdr:colOff>0</xdr:colOff>
                    <xdr:row>95</xdr:row>
                    <xdr:rowOff>0</xdr:rowOff>
                  </to>
                </anchor>
              </controlPr>
            </control>
          </mc:Choice>
        </mc:AlternateContent>
        <mc:AlternateContent xmlns:mc="http://schemas.openxmlformats.org/markup-compatibility/2006">
          <mc:Choice Requires="x14">
            <control shapeId="2274658" r:id="rId138" name="GB1242">
              <controlPr defaultSize="0" autoFill="0" autoPict="0">
                <anchor moveWithCells="1">
                  <from>
                    <xdr:col>7</xdr:col>
                    <xdr:colOff>121920</xdr:colOff>
                    <xdr:row>95</xdr:row>
                    <xdr:rowOff>22860</xdr:rowOff>
                  </from>
                  <to>
                    <xdr:col>10</xdr:col>
                    <xdr:colOff>0</xdr:colOff>
                    <xdr:row>95</xdr:row>
                    <xdr:rowOff>335280</xdr:rowOff>
                  </to>
                </anchor>
              </controlPr>
            </control>
          </mc:Choice>
        </mc:AlternateContent>
        <mc:AlternateContent xmlns:mc="http://schemas.openxmlformats.org/markup-compatibility/2006">
          <mc:Choice Requires="x14">
            <control shapeId="2274662" r:id="rId139" name="GB1243">
              <controlPr defaultSize="0" autoFill="0" autoPict="0">
                <anchor moveWithCells="1">
                  <from>
                    <xdr:col>7</xdr:col>
                    <xdr:colOff>121920</xdr:colOff>
                    <xdr:row>96</xdr:row>
                    <xdr:rowOff>22860</xdr:rowOff>
                  </from>
                  <to>
                    <xdr:col>10</xdr:col>
                    <xdr:colOff>0</xdr:colOff>
                    <xdr:row>96</xdr:row>
                    <xdr:rowOff>335280</xdr:rowOff>
                  </to>
                </anchor>
              </controlPr>
            </control>
          </mc:Choice>
        </mc:AlternateContent>
        <mc:AlternateContent xmlns:mc="http://schemas.openxmlformats.org/markup-compatibility/2006">
          <mc:Choice Requires="x14">
            <control shapeId="2274666" r:id="rId140" name="GB1311">
              <controlPr defaultSize="0" autoFill="0" autoPict="0">
                <anchor moveWithCells="1">
                  <from>
                    <xdr:col>7</xdr:col>
                    <xdr:colOff>121920</xdr:colOff>
                    <xdr:row>97</xdr:row>
                    <xdr:rowOff>22860</xdr:rowOff>
                  </from>
                  <to>
                    <xdr:col>10</xdr:col>
                    <xdr:colOff>0</xdr:colOff>
                    <xdr:row>97</xdr:row>
                    <xdr:rowOff>335280</xdr:rowOff>
                  </to>
                </anchor>
              </controlPr>
            </control>
          </mc:Choice>
        </mc:AlternateContent>
        <mc:AlternateContent xmlns:mc="http://schemas.openxmlformats.org/markup-compatibility/2006">
          <mc:Choice Requires="x14">
            <control shapeId="2274670" r:id="rId141" name="GB1321">
              <controlPr defaultSize="0" autoFill="0" autoPict="0">
                <anchor moveWithCells="1">
                  <from>
                    <xdr:col>7</xdr:col>
                    <xdr:colOff>121920</xdr:colOff>
                    <xdr:row>98</xdr:row>
                    <xdr:rowOff>22860</xdr:rowOff>
                  </from>
                  <to>
                    <xdr:col>10</xdr:col>
                    <xdr:colOff>0</xdr:colOff>
                    <xdr:row>98</xdr:row>
                    <xdr:rowOff>335280</xdr:rowOff>
                  </to>
                </anchor>
              </controlPr>
            </control>
          </mc:Choice>
        </mc:AlternateContent>
        <mc:AlternateContent xmlns:mc="http://schemas.openxmlformats.org/markup-compatibility/2006">
          <mc:Choice Requires="x14">
            <control shapeId="2274671" r:id="rId142" name="Option Button 367">
              <controlPr defaultSize="0" autoFill="0" autoLine="0" autoPict="0">
                <anchor moveWithCells="1">
                  <from>
                    <xdr:col>7</xdr:col>
                    <xdr:colOff>236220</xdr:colOff>
                    <xdr:row>99</xdr:row>
                    <xdr:rowOff>731520</xdr:rowOff>
                  </from>
                  <to>
                    <xdr:col>8</xdr:col>
                    <xdr:colOff>0</xdr:colOff>
                    <xdr:row>99</xdr:row>
                    <xdr:rowOff>960120</xdr:rowOff>
                  </to>
                </anchor>
              </controlPr>
            </control>
          </mc:Choice>
        </mc:AlternateContent>
        <mc:AlternateContent xmlns:mc="http://schemas.openxmlformats.org/markup-compatibility/2006">
          <mc:Choice Requires="x14">
            <control shapeId="2274672" r:id="rId143" name="Option Button 368">
              <controlPr defaultSize="0" autoFill="0" autoLine="0" autoPict="0">
                <anchor moveWithCells="1">
                  <from>
                    <xdr:col>8</xdr:col>
                    <xdr:colOff>236220</xdr:colOff>
                    <xdr:row>99</xdr:row>
                    <xdr:rowOff>731520</xdr:rowOff>
                  </from>
                  <to>
                    <xdr:col>9</xdr:col>
                    <xdr:colOff>0</xdr:colOff>
                    <xdr:row>99</xdr:row>
                    <xdr:rowOff>960120</xdr:rowOff>
                  </to>
                </anchor>
              </controlPr>
            </control>
          </mc:Choice>
        </mc:AlternateContent>
        <mc:AlternateContent xmlns:mc="http://schemas.openxmlformats.org/markup-compatibility/2006">
          <mc:Choice Requires="x14">
            <control shapeId="2274673" r:id="rId144" name="Option Button 369">
              <controlPr defaultSize="0" autoFill="0" autoLine="0" autoPict="0">
                <anchor moveWithCells="1">
                  <from>
                    <xdr:col>9</xdr:col>
                    <xdr:colOff>236220</xdr:colOff>
                    <xdr:row>99</xdr:row>
                    <xdr:rowOff>731520</xdr:rowOff>
                  </from>
                  <to>
                    <xdr:col>9</xdr:col>
                    <xdr:colOff>541020</xdr:colOff>
                    <xdr:row>99</xdr:row>
                    <xdr:rowOff>960120</xdr:rowOff>
                  </to>
                </anchor>
              </controlPr>
            </control>
          </mc:Choice>
        </mc:AlternateContent>
        <mc:AlternateContent xmlns:mc="http://schemas.openxmlformats.org/markup-compatibility/2006">
          <mc:Choice Requires="x14">
            <control shapeId="2274675" r:id="rId145" name="GB1322">
              <controlPr defaultSize="0" autoFill="0" autoPict="0">
                <anchor moveWithCells="1">
                  <from>
                    <xdr:col>7</xdr:col>
                    <xdr:colOff>99060</xdr:colOff>
                    <xdr:row>99</xdr:row>
                    <xdr:rowOff>655320</xdr:rowOff>
                  </from>
                  <to>
                    <xdr:col>10</xdr:col>
                    <xdr:colOff>0</xdr:colOff>
                    <xdr:row>99</xdr:row>
                    <xdr:rowOff>1303020</xdr:rowOff>
                  </to>
                </anchor>
              </controlPr>
            </control>
          </mc:Choice>
        </mc:AlternateContent>
        <mc:AlternateContent xmlns:mc="http://schemas.openxmlformats.org/markup-compatibility/2006">
          <mc:Choice Requires="x14">
            <control shapeId="2274679" r:id="rId146" name="GB1511">
              <controlPr defaultSize="0" autoFill="0" autoPict="0">
                <anchor moveWithCells="1">
                  <from>
                    <xdr:col>7</xdr:col>
                    <xdr:colOff>121920</xdr:colOff>
                    <xdr:row>101</xdr:row>
                    <xdr:rowOff>22860</xdr:rowOff>
                  </from>
                  <to>
                    <xdr:col>10</xdr:col>
                    <xdr:colOff>0</xdr:colOff>
                    <xdr:row>101</xdr:row>
                    <xdr:rowOff>335280</xdr:rowOff>
                  </to>
                </anchor>
              </controlPr>
            </control>
          </mc:Choice>
        </mc:AlternateContent>
        <mc:AlternateContent xmlns:mc="http://schemas.openxmlformats.org/markup-compatibility/2006">
          <mc:Choice Requires="x14">
            <control shapeId="2274683" r:id="rId147" name="GB1512">
              <controlPr defaultSize="0" autoFill="0" autoPict="0">
                <anchor moveWithCells="1">
                  <from>
                    <xdr:col>7</xdr:col>
                    <xdr:colOff>121920</xdr:colOff>
                    <xdr:row>102</xdr:row>
                    <xdr:rowOff>22860</xdr:rowOff>
                  </from>
                  <to>
                    <xdr:col>10</xdr:col>
                    <xdr:colOff>0</xdr:colOff>
                    <xdr:row>102</xdr:row>
                    <xdr:rowOff>335280</xdr:rowOff>
                  </to>
                </anchor>
              </controlPr>
            </control>
          </mc:Choice>
        </mc:AlternateContent>
        <mc:AlternateContent xmlns:mc="http://schemas.openxmlformats.org/markup-compatibility/2006">
          <mc:Choice Requires="x14">
            <control shapeId="2274684" r:id="rId148" name="Option Button 380">
              <controlPr defaultSize="0" autoFill="0" autoLine="0" autoPict="0">
                <anchor moveWithCells="1">
                  <from>
                    <xdr:col>7</xdr:col>
                    <xdr:colOff>236220</xdr:colOff>
                    <xdr:row>103</xdr:row>
                    <xdr:rowOff>800100</xdr:rowOff>
                  </from>
                  <to>
                    <xdr:col>8</xdr:col>
                    <xdr:colOff>0</xdr:colOff>
                    <xdr:row>103</xdr:row>
                    <xdr:rowOff>1036320</xdr:rowOff>
                  </to>
                </anchor>
              </controlPr>
            </control>
          </mc:Choice>
        </mc:AlternateContent>
        <mc:AlternateContent xmlns:mc="http://schemas.openxmlformats.org/markup-compatibility/2006">
          <mc:Choice Requires="x14">
            <control shapeId="2274685" r:id="rId149" name="Option Button 381">
              <controlPr defaultSize="0" autoFill="0" autoLine="0" autoPict="0">
                <anchor moveWithCells="1">
                  <from>
                    <xdr:col>8</xdr:col>
                    <xdr:colOff>236220</xdr:colOff>
                    <xdr:row>103</xdr:row>
                    <xdr:rowOff>800100</xdr:rowOff>
                  </from>
                  <to>
                    <xdr:col>9</xdr:col>
                    <xdr:colOff>0</xdr:colOff>
                    <xdr:row>103</xdr:row>
                    <xdr:rowOff>1036320</xdr:rowOff>
                  </to>
                </anchor>
              </controlPr>
            </control>
          </mc:Choice>
        </mc:AlternateContent>
        <mc:AlternateContent xmlns:mc="http://schemas.openxmlformats.org/markup-compatibility/2006">
          <mc:Choice Requires="x14">
            <control shapeId="2274686" r:id="rId150" name="Option Button 382">
              <controlPr defaultSize="0" autoFill="0" autoLine="0" autoPict="0">
                <anchor moveWithCells="1">
                  <from>
                    <xdr:col>9</xdr:col>
                    <xdr:colOff>236220</xdr:colOff>
                    <xdr:row>103</xdr:row>
                    <xdr:rowOff>800100</xdr:rowOff>
                  </from>
                  <to>
                    <xdr:col>9</xdr:col>
                    <xdr:colOff>541020</xdr:colOff>
                    <xdr:row>103</xdr:row>
                    <xdr:rowOff>1036320</xdr:rowOff>
                  </to>
                </anchor>
              </controlPr>
            </control>
          </mc:Choice>
        </mc:AlternateContent>
        <mc:AlternateContent xmlns:mc="http://schemas.openxmlformats.org/markup-compatibility/2006">
          <mc:Choice Requires="x14">
            <control shapeId="2274688" r:id="rId151" name="GB1513">
              <controlPr defaultSize="0" autoFill="0" autoPict="0">
                <anchor moveWithCells="1">
                  <from>
                    <xdr:col>7</xdr:col>
                    <xdr:colOff>99060</xdr:colOff>
                    <xdr:row>103</xdr:row>
                    <xdr:rowOff>693420</xdr:rowOff>
                  </from>
                  <to>
                    <xdr:col>10</xdr:col>
                    <xdr:colOff>0</xdr:colOff>
                    <xdr:row>103</xdr:row>
                    <xdr:rowOff>1333500</xdr:rowOff>
                  </to>
                </anchor>
              </controlPr>
            </control>
          </mc:Choice>
        </mc:AlternateContent>
        <mc:AlternateContent xmlns:mc="http://schemas.openxmlformats.org/markup-compatibility/2006">
          <mc:Choice Requires="x14">
            <control shapeId="2274689" r:id="rId152" name="Option Button 385">
              <controlPr defaultSize="0" autoFill="0" autoLine="0" autoPict="0">
                <anchor moveWithCells="1">
                  <from>
                    <xdr:col>7</xdr:col>
                    <xdr:colOff>236220</xdr:colOff>
                    <xdr:row>104</xdr:row>
                    <xdr:rowOff>746760</xdr:rowOff>
                  </from>
                  <to>
                    <xdr:col>8</xdr:col>
                    <xdr:colOff>0</xdr:colOff>
                    <xdr:row>104</xdr:row>
                    <xdr:rowOff>982980</xdr:rowOff>
                  </to>
                </anchor>
              </controlPr>
            </control>
          </mc:Choice>
        </mc:AlternateContent>
        <mc:AlternateContent xmlns:mc="http://schemas.openxmlformats.org/markup-compatibility/2006">
          <mc:Choice Requires="x14">
            <control shapeId="2274690" r:id="rId153" name="Option Button 386">
              <controlPr defaultSize="0" autoFill="0" autoLine="0" autoPict="0">
                <anchor moveWithCells="1">
                  <from>
                    <xdr:col>8</xdr:col>
                    <xdr:colOff>236220</xdr:colOff>
                    <xdr:row>104</xdr:row>
                    <xdr:rowOff>746760</xdr:rowOff>
                  </from>
                  <to>
                    <xdr:col>9</xdr:col>
                    <xdr:colOff>0</xdr:colOff>
                    <xdr:row>104</xdr:row>
                    <xdr:rowOff>982980</xdr:rowOff>
                  </to>
                </anchor>
              </controlPr>
            </control>
          </mc:Choice>
        </mc:AlternateContent>
        <mc:AlternateContent xmlns:mc="http://schemas.openxmlformats.org/markup-compatibility/2006">
          <mc:Choice Requires="x14">
            <control shapeId="2274691" r:id="rId154" name="Option Button 387">
              <controlPr defaultSize="0" autoFill="0" autoLine="0" autoPict="0">
                <anchor moveWithCells="1">
                  <from>
                    <xdr:col>9</xdr:col>
                    <xdr:colOff>236220</xdr:colOff>
                    <xdr:row>104</xdr:row>
                    <xdr:rowOff>746760</xdr:rowOff>
                  </from>
                  <to>
                    <xdr:col>9</xdr:col>
                    <xdr:colOff>541020</xdr:colOff>
                    <xdr:row>104</xdr:row>
                    <xdr:rowOff>982980</xdr:rowOff>
                  </to>
                </anchor>
              </controlPr>
            </control>
          </mc:Choice>
        </mc:AlternateContent>
        <mc:AlternateContent xmlns:mc="http://schemas.openxmlformats.org/markup-compatibility/2006">
          <mc:Choice Requires="x14">
            <control shapeId="2274693" r:id="rId155" name="GB1521">
              <controlPr defaultSize="0" autoFill="0" autoPict="0">
                <anchor moveWithCells="1">
                  <from>
                    <xdr:col>7</xdr:col>
                    <xdr:colOff>99060</xdr:colOff>
                    <xdr:row>104</xdr:row>
                    <xdr:rowOff>693420</xdr:rowOff>
                  </from>
                  <to>
                    <xdr:col>10</xdr:col>
                    <xdr:colOff>0</xdr:colOff>
                    <xdr:row>104</xdr:row>
                    <xdr:rowOff>1333500</xdr:rowOff>
                  </to>
                </anchor>
              </controlPr>
            </control>
          </mc:Choice>
        </mc:AlternateContent>
        <mc:AlternateContent xmlns:mc="http://schemas.openxmlformats.org/markup-compatibility/2006">
          <mc:Choice Requires="x14">
            <control shapeId="2274695" r:id="rId156" name="Option Button 391">
              <controlPr defaultSize="0" autoFill="0" autoLine="0" autoPict="0">
                <anchor moveWithCells="1">
                  <from>
                    <xdr:col>7</xdr:col>
                    <xdr:colOff>236220</xdr:colOff>
                    <xdr:row>106</xdr:row>
                    <xdr:rowOff>830580</xdr:rowOff>
                  </from>
                  <to>
                    <xdr:col>8</xdr:col>
                    <xdr:colOff>0</xdr:colOff>
                    <xdr:row>106</xdr:row>
                    <xdr:rowOff>1059180</xdr:rowOff>
                  </to>
                </anchor>
              </controlPr>
            </control>
          </mc:Choice>
        </mc:AlternateContent>
        <mc:AlternateContent xmlns:mc="http://schemas.openxmlformats.org/markup-compatibility/2006">
          <mc:Choice Requires="x14">
            <control shapeId="2274696" r:id="rId157" name="Option Button 392">
              <controlPr defaultSize="0" autoFill="0" autoLine="0" autoPict="0">
                <anchor moveWithCells="1">
                  <from>
                    <xdr:col>8</xdr:col>
                    <xdr:colOff>236220</xdr:colOff>
                    <xdr:row>106</xdr:row>
                    <xdr:rowOff>830580</xdr:rowOff>
                  </from>
                  <to>
                    <xdr:col>9</xdr:col>
                    <xdr:colOff>0</xdr:colOff>
                    <xdr:row>106</xdr:row>
                    <xdr:rowOff>1059180</xdr:rowOff>
                  </to>
                </anchor>
              </controlPr>
            </control>
          </mc:Choice>
        </mc:AlternateContent>
        <mc:AlternateContent xmlns:mc="http://schemas.openxmlformats.org/markup-compatibility/2006">
          <mc:Choice Requires="x14">
            <control shapeId="2274697" r:id="rId158" name="Option Button 393">
              <controlPr defaultSize="0" autoFill="0" autoLine="0" autoPict="0">
                <anchor moveWithCells="1">
                  <from>
                    <xdr:col>9</xdr:col>
                    <xdr:colOff>236220</xdr:colOff>
                    <xdr:row>106</xdr:row>
                    <xdr:rowOff>830580</xdr:rowOff>
                  </from>
                  <to>
                    <xdr:col>9</xdr:col>
                    <xdr:colOff>541020</xdr:colOff>
                    <xdr:row>106</xdr:row>
                    <xdr:rowOff>1059180</xdr:rowOff>
                  </to>
                </anchor>
              </controlPr>
            </control>
          </mc:Choice>
        </mc:AlternateContent>
        <mc:AlternateContent xmlns:mc="http://schemas.openxmlformats.org/markup-compatibility/2006">
          <mc:Choice Requires="x14">
            <control shapeId="2274699" r:id="rId159" name="GB1711">
              <controlPr defaultSize="0" autoFill="0" autoPict="0">
                <anchor moveWithCells="1">
                  <from>
                    <xdr:col>7</xdr:col>
                    <xdr:colOff>99060</xdr:colOff>
                    <xdr:row>106</xdr:row>
                    <xdr:rowOff>723900</xdr:rowOff>
                  </from>
                  <to>
                    <xdr:col>10</xdr:col>
                    <xdr:colOff>0</xdr:colOff>
                    <xdr:row>106</xdr:row>
                    <xdr:rowOff>1363980</xdr:rowOff>
                  </to>
                </anchor>
              </controlPr>
            </control>
          </mc:Choice>
        </mc:AlternateContent>
        <mc:AlternateContent xmlns:mc="http://schemas.openxmlformats.org/markup-compatibility/2006">
          <mc:Choice Requires="x14">
            <control shapeId="2274703" r:id="rId160" name="GB1721">
              <controlPr defaultSize="0" autoFill="0" autoPict="0">
                <anchor moveWithCells="1">
                  <from>
                    <xdr:col>7</xdr:col>
                    <xdr:colOff>121920</xdr:colOff>
                    <xdr:row>107</xdr:row>
                    <xdr:rowOff>22860</xdr:rowOff>
                  </from>
                  <to>
                    <xdr:col>10</xdr:col>
                    <xdr:colOff>0</xdr:colOff>
                    <xdr:row>107</xdr:row>
                    <xdr:rowOff>335280</xdr:rowOff>
                  </to>
                </anchor>
              </controlPr>
            </control>
          </mc:Choice>
        </mc:AlternateContent>
        <mc:AlternateContent xmlns:mc="http://schemas.openxmlformats.org/markup-compatibility/2006">
          <mc:Choice Requires="x14">
            <control shapeId="2274707" r:id="rId161" name="GB1722">
              <controlPr defaultSize="0" autoFill="0" autoPict="0">
                <anchor moveWithCells="1">
                  <from>
                    <xdr:col>7</xdr:col>
                    <xdr:colOff>121920</xdr:colOff>
                    <xdr:row>108</xdr:row>
                    <xdr:rowOff>22860</xdr:rowOff>
                  </from>
                  <to>
                    <xdr:col>10</xdr:col>
                    <xdr:colOff>0</xdr:colOff>
                    <xdr:row>108</xdr:row>
                    <xdr:rowOff>335280</xdr:rowOff>
                  </to>
                </anchor>
              </controlPr>
            </control>
          </mc:Choice>
        </mc:AlternateContent>
        <mc:AlternateContent xmlns:mc="http://schemas.openxmlformats.org/markup-compatibility/2006">
          <mc:Choice Requires="x14">
            <control shapeId="2274711" r:id="rId162" name="GB1723">
              <controlPr defaultSize="0" autoFill="0" autoPict="0">
                <anchor moveWithCells="1">
                  <from>
                    <xdr:col>7</xdr:col>
                    <xdr:colOff>121920</xdr:colOff>
                    <xdr:row>109</xdr:row>
                    <xdr:rowOff>22860</xdr:rowOff>
                  </from>
                  <to>
                    <xdr:col>10</xdr:col>
                    <xdr:colOff>0</xdr:colOff>
                    <xdr:row>109</xdr:row>
                    <xdr:rowOff>335280</xdr:rowOff>
                  </to>
                </anchor>
              </controlPr>
            </control>
          </mc:Choice>
        </mc:AlternateContent>
        <mc:AlternateContent xmlns:mc="http://schemas.openxmlformats.org/markup-compatibility/2006">
          <mc:Choice Requires="x14">
            <control shapeId="2274715" r:id="rId163" name="GB1724">
              <controlPr defaultSize="0" autoFill="0" autoPict="0">
                <anchor moveWithCells="1">
                  <from>
                    <xdr:col>7</xdr:col>
                    <xdr:colOff>121920</xdr:colOff>
                    <xdr:row>110</xdr:row>
                    <xdr:rowOff>22860</xdr:rowOff>
                  </from>
                  <to>
                    <xdr:col>10</xdr:col>
                    <xdr:colOff>0</xdr:colOff>
                    <xdr:row>110</xdr:row>
                    <xdr:rowOff>335280</xdr:rowOff>
                  </to>
                </anchor>
              </controlPr>
            </control>
          </mc:Choice>
        </mc:AlternateContent>
        <mc:AlternateContent xmlns:mc="http://schemas.openxmlformats.org/markup-compatibility/2006">
          <mc:Choice Requires="x14">
            <control shapeId="2274719" r:id="rId164" name="GB1725">
              <controlPr defaultSize="0" autoFill="0" autoPict="0">
                <anchor moveWithCells="1">
                  <from>
                    <xdr:col>7</xdr:col>
                    <xdr:colOff>121920</xdr:colOff>
                    <xdr:row>111</xdr:row>
                    <xdr:rowOff>22860</xdr:rowOff>
                  </from>
                  <to>
                    <xdr:col>10</xdr:col>
                    <xdr:colOff>0</xdr:colOff>
                    <xdr:row>111</xdr:row>
                    <xdr:rowOff>335280</xdr:rowOff>
                  </to>
                </anchor>
              </controlPr>
            </control>
          </mc:Choice>
        </mc:AlternateContent>
        <mc:AlternateContent xmlns:mc="http://schemas.openxmlformats.org/markup-compatibility/2006">
          <mc:Choice Requires="x14">
            <control shapeId="2274723" r:id="rId165" name="GB1726">
              <controlPr defaultSize="0" autoFill="0" autoPict="0">
                <anchor moveWithCells="1">
                  <from>
                    <xdr:col>7</xdr:col>
                    <xdr:colOff>121920</xdr:colOff>
                    <xdr:row>112</xdr:row>
                    <xdr:rowOff>22860</xdr:rowOff>
                  </from>
                  <to>
                    <xdr:col>10</xdr:col>
                    <xdr:colOff>0</xdr:colOff>
                    <xdr:row>112</xdr:row>
                    <xdr:rowOff>335280</xdr:rowOff>
                  </to>
                </anchor>
              </controlPr>
            </control>
          </mc:Choice>
        </mc:AlternateContent>
        <mc:AlternateContent xmlns:mc="http://schemas.openxmlformats.org/markup-compatibility/2006">
          <mc:Choice Requires="x14">
            <control shapeId="2274727" r:id="rId166" name="GB1727">
              <controlPr defaultSize="0" autoFill="0" autoPict="0">
                <anchor moveWithCells="1">
                  <from>
                    <xdr:col>7</xdr:col>
                    <xdr:colOff>121920</xdr:colOff>
                    <xdr:row>113</xdr:row>
                    <xdr:rowOff>22860</xdr:rowOff>
                  </from>
                  <to>
                    <xdr:col>10</xdr:col>
                    <xdr:colOff>0</xdr:colOff>
                    <xdr:row>113</xdr:row>
                    <xdr:rowOff>335280</xdr:rowOff>
                  </to>
                </anchor>
              </controlPr>
            </control>
          </mc:Choice>
        </mc:AlternateContent>
        <mc:AlternateContent xmlns:mc="http://schemas.openxmlformats.org/markup-compatibility/2006">
          <mc:Choice Requires="x14">
            <control shapeId="2274731" r:id="rId167" name="GB1728">
              <controlPr defaultSize="0" autoFill="0" autoPict="0">
                <anchor moveWithCells="1">
                  <from>
                    <xdr:col>7</xdr:col>
                    <xdr:colOff>121920</xdr:colOff>
                    <xdr:row>114</xdr:row>
                    <xdr:rowOff>22860</xdr:rowOff>
                  </from>
                  <to>
                    <xdr:col>10</xdr:col>
                    <xdr:colOff>0</xdr:colOff>
                    <xdr:row>114</xdr:row>
                    <xdr:rowOff>335280</xdr:rowOff>
                  </to>
                </anchor>
              </controlPr>
            </control>
          </mc:Choice>
        </mc:AlternateContent>
        <mc:AlternateContent xmlns:mc="http://schemas.openxmlformats.org/markup-compatibility/2006">
          <mc:Choice Requires="x14">
            <control shapeId="2274733" r:id="rId168" name="Check Box 429">
              <controlPr defaultSize="0" autoFill="0" autoLine="0" autoPict="0">
                <anchor moveWithCells="1">
                  <from>
                    <xdr:col>11</xdr:col>
                    <xdr:colOff>83820</xdr:colOff>
                    <xdr:row>10</xdr:row>
                    <xdr:rowOff>45720</xdr:rowOff>
                  </from>
                  <to>
                    <xdr:col>12</xdr:col>
                    <xdr:colOff>0</xdr:colOff>
                    <xdr:row>10</xdr:row>
                    <xdr:rowOff>297180</xdr:rowOff>
                  </to>
                </anchor>
              </controlPr>
            </control>
          </mc:Choice>
        </mc:AlternateContent>
        <mc:AlternateContent xmlns:mc="http://schemas.openxmlformats.org/markup-compatibility/2006">
          <mc:Choice Requires="x14">
            <control shapeId="2274734" r:id="rId169" name="Check Box 430">
              <controlPr defaultSize="0" autoFill="0" autoLine="0" autoPict="0">
                <anchor moveWithCells="1">
                  <from>
                    <xdr:col>11</xdr:col>
                    <xdr:colOff>83820</xdr:colOff>
                    <xdr:row>11</xdr:row>
                    <xdr:rowOff>45720</xdr:rowOff>
                  </from>
                  <to>
                    <xdr:col>12</xdr:col>
                    <xdr:colOff>0</xdr:colOff>
                    <xdr:row>11</xdr:row>
                    <xdr:rowOff>297180</xdr:rowOff>
                  </to>
                </anchor>
              </controlPr>
            </control>
          </mc:Choice>
        </mc:AlternateContent>
        <mc:AlternateContent xmlns:mc="http://schemas.openxmlformats.org/markup-compatibility/2006">
          <mc:Choice Requires="x14">
            <control shapeId="2274735" r:id="rId170" name="Check Box 431">
              <controlPr defaultSize="0" autoFill="0" autoLine="0" autoPict="0">
                <anchor moveWithCells="1">
                  <from>
                    <xdr:col>11</xdr:col>
                    <xdr:colOff>83820</xdr:colOff>
                    <xdr:row>12</xdr:row>
                    <xdr:rowOff>45720</xdr:rowOff>
                  </from>
                  <to>
                    <xdr:col>12</xdr:col>
                    <xdr:colOff>0</xdr:colOff>
                    <xdr:row>12</xdr:row>
                    <xdr:rowOff>297180</xdr:rowOff>
                  </to>
                </anchor>
              </controlPr>
            </control>
          </mc:Choice>
        </mc:AlternateContent>
        <mc:AlternateContent xmlns:mc="http://schemas.openxmlformats.org/markup-compatibility/2006">
          <mc:Choice Requires="x14">
            <control shapeId="2274736" r:id="rId171" name="Check Box 432">
              <controlPr defaultSize="0" autoFill="0" autoLine="0" autoPict="0">
                <anchor moveWithCells="1">
                  <from>
                    <xdr:col>11</xdr:col>
                    <xdr:colOff>83820</xdr:colOff>
                    <xdr:row>13</xdr:row>
                    <xdr:rowOff>45720</xdr:rowOff>
                  </from>
                  <to>
                    <xdr:col>12</xdr:col>
                    <xdr:colOff>0</xdr:colOff>
                    <xdr:row>13</xdr:row>
                    <xdr:rowOff>297180</xdr:rowOff>
                  </to>
                </anchor>
              </controlPr>
            </control>
          </mc:Choice>
        </mc:AlternateContent>
        <mc:AlternateContent xmlns:mc="http://schemas.openxmlformats.org/markup-compatibility/2006">
          <mc:Choice Requires="x14">
            <control shapeId="2274737" r:id="rId172" name="Check Box 433">
              <controlPr defaultSize="0" autoFill="0" autoLine="0" autoPict="0">
                <anchor moveWithCells="1">
                  <from>
                    <xdr:col>11</xdr:col>
                    <xdr:colOff>83820</xdr:colOff>
                    <xdr:row>14</xdr:row>
                    <xdr:rowOff>45720</xdr:rowOff>
                  </from>
                  <to>
                    <xdr:col>12</xdr:col>
                    <xdr:colOff>0</xdr:colOff>
                    <xdr:row>14</xdr:row>
                    <xdr:rowOff>297180</xdr:rowOff>
                  </to>
                </anchor>
              </controlPr>
            </control>
          </mc:Choice>
        </mc:AlternateContent>
        <mc:AlternateContent xmlns:mc="http://schemas.openxmlformats.org/markup-compatibility/2006">
          <mc:Choice Requires="x14">
            <control shapeId="2274738" r:id="rId173" name="Check Box 434">
              <controlPr defaultSize="0" autoFill="0" autoLine="0" autoPict="0">
                <anchor moveWithCells="1">
                  <from>
                    <xdr:col>11</xdr:col>
                    <xdr:colOff>83820</xdr:colOff>
                    <xdr:row>15</xdr:row>
                    <xdr:rowOff>45720</xdr:rowOff>
                  </from>
                  <to>
                    <xdr:col>12</xdr:col>
                    <xdr:colOff>0</xdr:colOff>
                    <xdr:row>15</xdr:row>
                    <xdr:rowOff>297180</xdr:rowOff>
                  </to>
                </anchor>
              </controlPr>
            </control>
          </mc:Choice>
        </mc:AlternateContent>
        <mc:AlternateContent xmlns:mc="http://schemas.openxmlformats.org/markup-compatibility/2006">
          <mc:Choice Requires="x14">
            <control shapeId="2274739" r:id="rId174" name="Check Box 435">
              <controlPr defaultSize="0" autoFill="0" autoLine="0" autoPict="0">
                <anchor moveWithCells="1">
                  <from>
                    <xdr:col>11</xdr:col>
                    <xdr:colOff>83820</xdr:colOff>
                    <xdr:row>16</xdr:row>
                    <xdr:rowOff>45720</xdr:rowOff>
                  </from>
                  <to>
                    <xdr:col>12</xdr:col>
                    <xdr:colOff>0</xdr:colOff>
                    <xdr:row>16</xdr:row>
                    <xdr:rowOff>297180</xdr:rowOff>
                  </to>
                </anchor>
              </controlPr>
            </control>
          </mc:Choice>
        </mc:AlternateContent>
        <mc:AlternateContent xmlns:mc="http://schemas.openxmlformats.org/markup-compatibility/2006">
          <mc:Choice Requires="x14">
            <control shapeId="2274740" r:id="rId175" name="Check Box 436">
              <controlPr defaultSize="0" autoFill="0" autoLine="0" autoPict="0">
                <anchor moveWithCells="1">
                  <from>
                    <xdr:col>11</xdr:col>
                    <xdr:colOff>83820</xdr:colOff>
                    <xdr:row>18</xdr:row>
                    <xdr:rowOff>45720</xdr:rowOff>
                  </from>
                  <to>
                    <xdr:col>12</xdr:col>
                    <xdr:colOff>0</xdr:colOff>
                    <xdr:row>18</xdr:row>
                    <xdr:rowOff>297180</xdr:rowOff>
                  </to>
                </anchor>
              </controlPr>
            </control>
          </mc:Choice>
        </mc:AlternateContent>
        <mc:AlternateContent xmlns:mc="http://schemas.openxmlformats.org/markup-compatibility/2006">
          <mc:Choice Requires="x14">
            <control shapeId="2274741" r:id="rId176" name="Check Box 437">
              <controlPr defaultSize="0" autoFill="0" autoLine="0" autoPict="0">
                <anchor moveWithCells="1">
                  <from>
                    <xdr:col>11</xdr:col>
                    <xdr:colOff>83820</xdr:colOff>
                    <xdr:row>17</xdr:row>
                    <xdr:rowOff>982980</xdr:rowOff>
                  </from>
                  <to>
                    <xdr:col>12</xdr:col>
                    <xdr:colOff>0</xdr:colOff>
                    <xdr:row>17</xdr:row>
                    <xdr:rowOff>1226820</xdr:rowOff>
                  </to>
                </anchor>
              </controlPr>
            </control>
          </mc:Choice>
        </mc:AlternateContent>
        <mc:AlternateContent xmlns:mc="http://schemas.openxmlformats.org/markup-compatibility/2006">
          <mc:Choice Requires="x14">
            <control shapeId="2274742" r:id="rId177" name="Check Box 438">
              <controlPr defaultSize="0" autoFill="0" autoLine="0" autoPict="0">
                <anchor moveWithCells="1">
                  <from>
                    <xdr:col>11</xdr:col>
                    <xdr:colOff>83820</xdr:colOff>
                    <xdr:row>19</xdr:row>
                    <xdr:rowOff>579120</xdr:rowOff>
                  </from>
                  <to>
                    <xdr:col>12</xdr:col>
                    <xdr:colOff>0</xdr:colOff>
                    <xdr:row>19</xdr:row>
                    <xdr:rowOff>830580</xdr:rowOff>
                  </to>
                </anchor>
              </controlPr>
            </control>
          </mc:Choice>
        </mc:AlternateContent>
        <mc:AlternateContent xmlns:mc="http://schemas.openxmlformats.org/markup-compatibility/2006">
          <mc:Choice Requires="x14">
            <control shapeId="2274743" r:id="rId178" name="Check Box 439">
              <controlPr defaultSize="0" autoFill="0" autoLine="0" autoPict="0">
                <anchor moveWithCells="1">
                  <from>
                    <xdr:col>11</xdr:col>
                    <xdr:colOff>83820</xdr:colOff>
                    <xdr:row>20</xdr:row>
                    <xdr:rowOff>45720</xdr:rowOff>
                  </from>
                  <to>
                    <xdr:col>12</xdr:col>
                    <xdr:colOff>0</xdr:colOff>
                    <xdr:row>20</xdr:row>
                    <xdr:rowOff>297180</xdr:rowOff>
                  </to>
                </anchor>
              </controlPr>
            </control>
          </mc:Choice>
        </mc:AlternateContent>
        <mc:AlternateContent xmlns:mc="http://schemas.openxmlformats.org/markup-compatibility/2006">
          <mc:Choice Requires="x14">
            <control shapeId="2274744" r:id="rId179" name="Check Box 440">
              <controlPr defaultSize="0" autoFill="0" autoLine="0" autoPict="0">
                <anchor moveWithCells="1">
                  <from>
                    <xdr:col>11</xdr:col>
                    <xdr:colOff>83820</xdr:colOff>
                    <xdr:row>22</xdr:row>
                    <xdr:rowOff>45720</xdr:rowOff>
                  </from>
                  <to>
                    <xdr:col>12</xdr:col>
                    <xdr:colOff>0</xdr:colOff>
                    <xdr:row>22</xdr:row>
                    <xdr:rowOff>297180</xdr:rowOff>
                  </to>
                </anchor>
              </controlPr>
            </control>
          </mc:Choice>
        </mc:AlternateContent>
        <mc:AlternateContent xmlns:mc="http://schemas.openxmlformats.org/markup-compatibility/2006">
          <mc:Choice Requires="x14">
            <control shapeId="2274826" r:id="rId180" name="Check Box 522">
              <controlPr defaultSize="0" autoFill="0" autoLine="0" autoPict="0">
                <anchor moveWithCells="1">
                  <from>
                    <xdr:col>11</xdr:col>
                    <xdr:colOff>83820</xdr:colOff>
                    <xdr:row>23</xdr:row>
                    <xdr:rowOff>45720</xdr:rowOff>
                  </from>
                  <to>
                    <xdr:col>12</xdr:col>
                    <xdr:colOff>0</xdr:colOff>
                    <xdr:row>23</xdr:row>
                    <xdr:rowOff>297180</xdr:rowOff>
                  </to>
                </anchor>
              </controlPr>
            </control>
          </mc:Choice>
        </mc:AlternateContent>
        <mc:AlternateContent xmlns:mc="http://schemas.openxmlformats.org/markup-compatibility/2006">
          <mc:Choice Requires="x14">
            <control shapeId="2274827" r:id="rId181" name="Check Box 523">
              <controlPr defaultSize="0" autoFill="0" autoLine="0" autoPict="0">
                <anchor moveWithCells="1">
                  <from>
                    <xdr:col>11</xdr:col>
                    <xdr:colOff>83820</xdr:colOff>
                    <xdr:row>24</xdr:row>
                    <xdr:rowOff>45720</xdr:rowOff>
                  </from>
                  <to>
                    <xdr:col>12</xdr:col>
                    <xdr:colOff>0</xdr:colOff>
                    <xdr:row>24</xdr:row>
                    <xdr:rowOff>297180</xdr:rowOff>
                  </to>
                </anchor>
              </controlPr>
            </control>
          </mc:Choice>
        </mc:AlternateContent>
        <mc:AlternateContent xmlns:mc="http://schemas.openxmlformats.org/markup-compatibility/2006">
          <mc:Choice Requires="x14">
            <control shapeId="2274828" r:id="rId182" name="Check Box 524">
              <controlPr defaultSize="0" autoFill="0" autoLine="0" autoPict="0">
                <anchor moveWithCells="1">
                  <from>
                    <xdr:col>11</xdr:col>
                    <xdr:colOff>83820</xdr:colOff>
                    <xdr:row>25</xdr:row>
                    <xdr:rowOff>350520</xdr:rowOff>
                  </from>
                  <to>
                    <xdr:col>12</xdr:col>
                    <xdr:colOff>0</xdr:colOff>
                    <xdr:row>25</xdr:row>
                    <xdr:rowOff>601980</xdr:rowOff>
                  </to>
                </anchor>
              </controlPr>
            </control>
          </mc:Choice>
        </mc:AlternateContent>
        <mc:AlternateContent xmlns:mc="http://schemas.openxmlformats.org/markup-compatibility/2006">
          <mc:Choice Requires="x14">
            <control shapeId="2274830" r:id="rId183" name="Check Box 526">
              <controlPr defaultSize="0" autoFill="0" autoLine="0" autoPict="0">
                <anchor moveWithCells="1">
                  <from>
                    <xdr:col>11</xdr:col>
                    <xdr:colOff>83820</xdr:colOff>
                    <xdr:row>27</xdr:row>
                    <xdr:rowOff>45720</xdr:rowOff>
                  </from>
                  <to>
                    <xdr:col>12</xdr:col>
                    <xdr:colOff>0</xdr:colOff>
                    <xdr:row>27</xdr:row>
                    <xdr:rowOff>297180</xdr:rowOff>
                  </to>
                </anchor>
              </controlPr>
            </control>
          </mc:Choice>
        </mc:AlternateContent>
        <mc:AlternateContent xmlns:mc="http://schemas.openxmlformats.org/markup-compatibility/2006">
          <mc:Choice Requires="x14">
            <control shapeId="2274831" r:id="rId184" name="Check Box 527">
              <controlPr defaultSize="0" autoFill="0" autoLine="0" autoPict="0">
                <anchor moveWithCells="1">
                  <from>
                    <xdr:col>11</xdr:col>
                    <xdr:colOff>83820</xdr:colOff>
                    <xdr:row>28</xdr:row>
                    <xdr:rowOff>45720</xdr:rowOff>
                  </from>
                  <to>
                    <xdr:col>12</xdr:col>
                    <xdr:colOff>0</xdr:colOff>
                    <xdr:row>28</xdr:row>
                    <xdr:rowOff>297180</xdr:rowOff>
                  </to>
                </anchor>
              </controlPr>
            </control>
          </mc:Choice>
        </mc:AlternateContent>
        <mc:AlternateContent xmlns:mc="http://schemas.openxmlformats.org/markup-compatibility/2006">
          <mc:Choice Requires="x14">
            <control shapeId="2274832" r:id="rId185" name="Check Box 528">
              <controlPr defaultSize="0" autoFill="0" autoLine="0" autoPict="0">
                <anchor moveWithCells="1">
                  <from>
                    <xdr:col>11</xdr:col>
                    <xdr:colOff>83820</xdr:colOff>
                    <xdr:row>29</xdr:row>
                    <xdr:rowOff>45720</xdr:rowOff>
                  </from>
                  <to>
                    <xdr:col>12</xdr:col>
                    <xdr:colOff>0</xdr:colOff>
                    <xdr:row>29</xdr:row>
                    <xdr:rowOff>297180</xdr:rowOff>
                  </to>
                </anchor>
              </controlPr>
            </control>
          </mc:Choice>
        </mc:AlternateContent>
        <mc:AlternateContent xmlns:mc="http://schemas.openxmlformats.org/markup-compatibility/2006">
          <mc:Choice Requires="x14">
            <control shapeId="2274833" r:id="rId186" name="Check Box 529">
              <controlPr defaultSize="0" autoFill="0" autoLine="0" autoPict="0">
                <anchor moveWithCells="1">
                  <from>
                    <xdr:col>11</xdr:col>
                    <xdr:colOff>83820</xdr:colOff>
                    <xdr:row>30</xdr:row>
                    <xdr:rowOff>45720</xdr:rowOff>
                  </from>
                  <to>
                    <xdr:col>12</xdr:col>
                    <xdr:colOff>0</xdr:colOff>
                    <xdr:row>30</xdr:row>
                    <xdr:rowOff>297180</xdr:rowOff>
                  </to>
                </anchor>
              </controlPr>
            </control>
          </mc:Choice>
        </mc:AlternateContent>
        <mc:AlternateContent xmlns:mc="http://schemas.openxmlformats.org/markup-compatibility/2006">
          <mc:Choice Requires="x14">
            <control shapeId="2274834" r:id="rId187" name="Check Box 530">
              <controlPr defaultSize="0" autoFill="0" autoLine="0" autoPict="0">
                <anchor moveWithCells="1">
                  <from>
                    <xdr:col>11</xdr:col>
                    <xdr:colOff>83820</xdr:colOff>
                    <xdr:row>31</xdr:row>
                    <xdr:rowOff>45720</xdr:rowOff>
                  </from>
                  <to>
                    <xdr:col>12</xdr:col>
                    <xdr:colOff>0</xdr:colOff>
                    <xdr:row>31</xdr:row>
                    <xdr:rowOff>297180</xdr:rowOff>
                  </to>
                </anchor>
              </controlPr>
            </control>
          </mc:Choice>
        </mc:AlternateContent>
        <mc:AlternateContent xmlns:mc="http://schemas.openxmlformats.org/markup-compatibility/2006">
          <mc:Choice Requires="x14">
            <control shapeId="2274835" r:id="rId188" name="Check Box 531">
              <controlPr defaultSize="0" autoFill="0" autoLine="0" autoPict="0">
                <anchor moveWithCells="1">
                  <from>
                    <xdr:col>11</xdr:col>
                    <xdr:colOff>83820</xdr:colOff>
                    <xdr:row>32</xdr:row>
                    <xdr:rowOff>45720</xdr:rowOff>
                  </from>
                  <to>
                    <xdr:col>12</xdr:col>
                    <xdr:colOff>0</xdr:colOff>
                    <xdr:row>32</xdr:row>
                    <xdr:rowOff>297180</xdr:rowOff>
                  </to>
                </anchor>
              </controlPr>
            </control>
          </mc:Choice>
        </mc:AlternateContent>
        <mc:AlternateContent xmlns:mc="http://schemas.openxmlformats.org/markup-compatibility/2006">
          <mc:Choice Requires="x14">
            <control shapeId="2274836" r:id="rId189" name="Check Box 532">
              <controlPr defaultSize="0" autoFill="0" autoLine="0" autoPict="0">
                <anchor moveWithCells="1">
                  <from>
                    <xdr:col>11</xdr:col>
                    <xdr:colOff>83820</xdr:colOff>
                    <xdr:row>33</xdr:row>
                    <xdr:rowOff>525780</xdr:rowOff>
                  </from>
                  <to>
                    <xdr:col>12</xdr:col>
                    <xdr:colOff>0</xdr:colOff>
                    <xdr:row>33</xdr:row>
                    <xdr:rowOff>769620</xdr:rowOff>
                  </to>
                </anchor>
              </controlPr>
            </control>
          </mc:Choice>
        </mc:AlternateContent>
        <mc:AlternateContent xmlns:mc="http://schemas.openxmlformats.org/markup-compatibility/2006">
          <mc:Choice Requires="x14">
            <control shapeId="2274837" r:id="rId190" name="Check Box 533">
              <controlPr defaultSize="0" autoFill="0" autoLine="0" autoPict="0">
                <anchor moveWithCells="1">
                  <from>
                    <xdr:col>11</xdr:col>
                    <xdr:colOff>83820</xdr:colOff>
                    <xdr:row>34</xdr:row>
                    <xdr:rowOff>579120</xdr:rowOff>
                  </from>
                  <to>
                    <xdr:col>12</xdr:col>
                    <xdr:colOff>0</xdr:colOff>
                    <xdr:row>34</xdr:row>
                    <xdr:rowOff>830580</xdr:rowOff>
                  </to>
                </anchor>
              </controlPr>
            </control>
          </mc:Choice>
        </mc:AlternateContent>
        <mc:AlternateContent xmlns:mc="http://schemas.openxmlformats.org/markup-compatibility/2006">
          <mc:Choice Requires="x14">
            <control shapeId="2274838" r:id="rId191" name="Check Box 534">
              <controlPr defaultSize="0" autoFill="0" autoLine="0" autoPict="0">
                <anchor moveWithCells="1">
                  <from>
                    <xdr:col>11</xdr:col>
                    <xdr:colOff>83820</xdr:colOff>
                    <xdr:row>35</xdr:row>
                    <xdr:rowOff>45720</xdr:rowOff>
                  </from>
                  <to>
                    <xdr:col>12</xdr:col>
                    <xdr:colOff>0</xdr:colOff>
                    <xdr:row>35</xdr:row>
                    <xdr:rowOff>297180</xdr:rowOff>
                  </to>
                </anchor>
              </controlPr>
            </control>
          </mc:Choice>
        </mc:AlternateContent>
        <mc:AlternateContent xmlns:mc="http://schemas.openxmlformats.org/markup-compatibility/2006">
          <mc:Choice Requires="x14">
            <control shapeId="2274840" r:id="rId192" name="Check Box 536">
              <controlPr defaultSize="0" autoFill="0" autoLine="0" autoPict="0">
                <anchor moveWithCells="1">
                  <from>
                    <xdr:col>11</xdr:col>
                    <xdr:colOff>83820</xdr:colOff>
                    <xdr:row>37</xdr:row>
                    <xdr:rowOff>45720</xdr:rowOff>
                  </from>
                  <to>
                    <xdr:col>12</xdr:col>
                    <xdr:colOff>0</xdr:colOff>
                    <xdr:row>37</xdr:row>
                    <xdr:rowOff>297180</xdr:rowOff>
                  </to>
                </anchor>
              </controlPr>
            </control>
          </mc:Choice>
        </mc:AlternateContent>
        <mc:AlternateContent xmlns:mc="http://schemas.openxmlformats.org/markup-compatibility/2006">
          <mc:Choice Requires="x14">
            <control shapeId="2274841" r:id="rId193" name="Check Box 537">
              <controlPr defaultSize="0" autoFill="0" autoLine="0" autoPict="0">
                <anchor moveWithCells="1">
                  <from>
                    <xdr:col>11</xdr:col>
                    <xdr:colOff>83820</xdr:colOff>
                    <xdr:row>38</xdr:row>
                    <xdr:rowOff>1127760</xdr:rowOff>
                  </from>
                  <to>
                    <xdr:col>12</xdr:col>
                    <xdr:colOff>0</xdr:colOff>
                    <xdr:row>38</xdr:row>
                    <xdr:rowOff>1371600</xdr:rowOff>
                  </to>
                </anchor>
              </controlPr>
            </control>
          </mc:Choice>
        </mc:AlternateContent>
        <mc:AlternateContent xmlns:mc="http://schemas.openxmlformats.org/markup-compatibility/2006">
          <mc:Choice Requires="x14">
            <control shapeId="2274842" r:id="rId194" name="Check Box 538">
              <controlPr defaultSize="0" autoFill="0" autoLine="0" autoPict="0">
                <anchor moveWithCells="1">
                  <from>
                    <xdr:col>11</xdr:col>
                    <xdr:colOff>83820</xdr:colOff>
                    <xdr:row>40</xdr:row>
                    <xdr:rowOff>45720</xdr:rowOff>
                  </from>
                  <to>
                    <xdr:col>12</xdr:col>
                    <xdr:colOff>0</xdr:colOff>
                    <xdr:row>40</xdr:row>
                    <xdr:rowOff>297180</xdr:rowOff>
                  </to>
                </anchor>
              </controlPr>
            </control>
          </mc:Choice>
        </mc:AlternateContent>
        <mc:AlternateContent xmlns:mc="http://schemas.openxmlformats.org/markup-compatibility/2006">
          <mc:Choice Requires="x14">
            <control shapeId="2274843" r:id="rId195" name="Check Box 539">
              <controlPr defaultSize="0" autoFill="0" autoLine="0" autoPict="0">
                <anchor moveWithCells="1">
                  <from>
                    <xdr:col>11</xdr:col>
                    <xdr:colOff>83820</xdr:colOff>
                    <xdr:row>41</xdr:row>
                    <xdr:rowOff>45720</xdr:rowOff>
                  </from>
                  <to>
                    <xdr:col>12</xdr:col>
                    <xdr:colOff>0</xdr:colOff>
                    <xdr:row>41</xdr:row>
                    <xdr:rowOff>297180</xdr:rowOff>
                  </to>
                </anchor>
              </controlPr>
            </control>
          </mc:Choice>
        </mc:AlternateContent>
        <mc:AlternateContent xmlns:mc="http://schemas.openxmlformats.org/markup-compatibility/2006">
          <mc:Choice Requires="x14">
            <control shapeId="2274844" r:id="rId196" name="Check Box 540">
              <controlPr defaultSize="0" autoFill="0" autoLine="0" autoPict="0">
                <anchor moveWithCells="1">
                  <from>
                    <xdr:col>11</xdr:col>
                    <xdr:colOff>83820</xdr:colOff>
                    <xdr:row>42</xdr:row>
                    <xdr:rowOff>678180</xdr:rowOff>
                  </from>
                  <to>
                    <xdr:col>12</xdr:col>
                    <xdr:colOff>0</xdr:colOff>
                    <xdr:row>42</xdr:row>
                    <xdr:rowOff>922020</xdr:rowOff>
                  </to>
                </anchor>
              </controlPr>
            </control>
          </mc:Choice>
        </mc:AlternateContent>
        <mc:AlternateContent xmlns:mc="http://schemas.openxmlformats.org/markup-compatibility/2006">
          <mc:Choice Requires="x14">
            <control shapeId="2274845" r:id="rId197" name="Check Box 541">
              <controlPr defaultSize="0" autoFill="0" autoLine="0" autoPict="0">
                <anchor moveWithCells="1">
                  <from>
                    <xdr:col>11</xdr:col>
                    <xdr:colOff>83820</xdr:colOff>
                    <xdr:row>44</xdr:row>
                    <xdr:rowOff>937260</xdr:rowOff>
                  </from>
                  <to>
                    <xdr:col>12</xdr:col>
                    <xdr:colOff>0</xdr:colOff>
                    <xdr:row>44</xdr:row>
                    <xdr:rowOff>1181100</xdr:rowOff>
                  </to>
                </anchor>
              </controlPr>
            </control>
          </mc:Choice>
        </mc:AlternateContent>
        <mc:AlternateContent xmlns:mc="http://schemas.openxmlformats.org/markup-compatibility/2006">
          <mc:Choice Requires="x14">
            <control shapeId="2274846" r:id="rId198" name="Check Box 542">
              <controlPr defaultSize="0" autoFill="0" autoLine="0" autoPict="0">
                <anchor moveWithCells="1">
                  <from>
                    <xdr:col>11</xdr:col>
                    <xdr:colOff>83820</xdr:colOff>
                    <xdr:row>45</xdr:row>
                    <xdr:rowOff>99060</xdr:rowOff>
                  </from>
                  <to>
                    <xdr:col>12</xdr:col>
                    <xdr:colOff>0</xdr:colOff>
                    <xdr:row>45</xdr:row>
                    <xdr:rowOff>342900</xdr:rowOff>
                  </to>
                </anchor>
              </controlPr>
            </control>
          </mc:Choice>
        </mc:AlternateContent>
        <mc:AlternateContent xmlns:mc="http://schemas.openxmlformats.org/markup-compatibility/2006">
          <mc:Choice Requires="x14">
            <control shapeId="2274847" r:id="rId199" name="Check Box 543">
              <controlPr defaultSize="0" autoFill="0" autoLine="0" autoPict="0">
                <anchor moveWithCells="1">
                  <from>
                    <xdr:col>11</xdr:col>
                    <xdr:colOff>83820</xdr:colOff>
                    <xdr:row>47</xdr:row>
                    <xdr:rowOff>647700</xdr:rowOff>
                  </from>
                  <to>
                    <xdr:col>12</xdr:col>
                    <xdr:colOff>0</xdr:colOff>
                    <xdr:row>47</xdr:row>
                    <xdr:rowOff>899160</xdr:rowOff>
                  </to>
                </anchor>
              </controlPr>
            </control>
          </mc:Choice>
        </mc:AlternateContent>
        <mc:AlternateContent xmlns:mc="http://schemas.openxmlformats.org/markup-compatibility/2006">
          <mc:Choice Requires="x14">
            <control shapeId="2274848" r:id="rId200" name="Check Box 544">
              <controlPr defaultSize="0" autoFill="0" autoLine="0" autoPict="0">
                <anchor moveWithCells="1">
                  <from>
                    <xdr:col>11</xdr:col>
                    <xdr:colOff>83820</xdr:colOff>
                    <xdr:row>48</xdr:row>
                    <xdr:rowOff>617220</xdr:rowOff>
                  </from>
                  <to>
                    <xdr:col>12</xdr:col>
                    <xdr:colOff>0</xdr:colOff>
                    <xdr:row>48</xdr:row>
                    <xdr:rowOff>868680</xdr:rowOff>
                  </to>
                </anchor>
              </controlPr>
            </control>
          </mc:Choice>
        </mc:AlternateContent>
        <mc:AlternateContent xmlns:mc="http://schemas.openxmlformats.org/markup-compatibility/2006">
          <mc:Choice Requires="x14">
            <control shapeId="2274849" r:id="rId201" name="Check Box 545">
              <controlPr defaultSize="0" autoFill="0" autoLine="0" autoPict="0">
                <anchor moveWithCells="1">
                  <from>
                    <xdr:col>11</xdr:col>
                    <xdr:colOff>83820</xdr:colOff>
                    <xdr:row>49</xdr:row>
                    <xdr:rowOff>60960</xdr:rowOff>
                  </from>
                  <to>
                    <xdr:col>12</xdr:col>
                    <xdr:colOff>0</xdr:colOff>
                    <xdr:row>49</xdr:row>
                    <xdr:rowOff>297180</xdr:rowOff>
                  </to>
                </anchor>
              </controlPr>
            </control>
          </mc:Choice>
        </mc:AlternateContent>
        <mc:AlternateContent xmlns:mc="http://schemas.openxmlformats.org/markup-compatibility/2006">
          <mc:Choice Requires="x14">
            <control shapeId="2274850" r:id="rId202" name="Check Box 546">
              <controlPr defaultSize="0" autoFill="0" autoLine="0" autoPict="0">
                <anchor moveWithCells="1">
                  <from>
                    <xdr:col>11</xdr:col>
                    <xdr:colOff>83820</xdr:colOff>
                    <xdr:row>50</xdr:row>
                    <xdr:rowOff>45720</xdr:rowOff>
                  </from>
                  <to>
                    <xdr:col>12</xdr:col>
                    <xdr:colOff>0</xdr:colOff>
                    <xdr:row>50</xdr:row>
                    <xdr:rowOff>297180</xdr:rowOff>
                  </to>
                </anchor>
              </controlPr>
            </control>
          </mc:Choice>
        </mc:AlternateContent>
        <mc:AlternateContent xmlns:mc="http://schemas.openxmlformats.org/markup-compatibility/2006">
          <mc:Choice Requires="x14">
            <control shapeId="2274851" r:id="rId203" name="Check Box 547">
              <controlPr defaultSize="0" autoFill="0" autoLine="0" autoPict="0">
                <anchor moveWithCells="1">
                  <from>
                    <xdr:col>11</xdr:col>
                    <xdr:colOff>83820</xdr:colOff>
                    <xdr:row>51</xdr:row>
                    <xdr:rowOff>45720</xdr:rowOff>
                  </from>
                  <to>
                    <xdr:col>12</xdr:col>
                    <xdr:colOff>0</xdr:colOff>
                    <xdr:row>51</xdr:row>
                    <xdr:rowOff>297180</xdr:rowOff>
                  </to>
                </anchor>
              </controlPr>
            </control>
          </mc:Choice>
        </mc:AlternateContent>
        <mc:AlternateContent xmlns:mc="http://schemas.openxmlformats.org/markup-compatibility/2006">
          <mc:Choice Requires="x14">
            <control shapeId="2274852" r:id="rId204" name="Check Box 548">
              <controlPr defaultSize="0" autoFill="0" autoLine="0" autoPict="0">
                <anchor moveWithCells="1">
                  <from>
                    <xdr:col>11</xdr:col>
                    <xdr:colOff>83820</xdr:colOff>
                    <xdr:row>52</xdr:row>
                    <xdr:rowOff>45720</xdr:rowOff>
                  </from>
                  <to>
                    <xdr:col>12</xdr:col>
                    <xdr:colOff>0</xdr:colOff>
                    <xdr:row>52</xdr:row>
                    <xdr:rowOff>297180</xdr:rowOff>
                  </to>
                </anchor>
              </controlPr>
            </control>
          </mc:Choice>
        </mc:AlternateContent>
        <mc:AlternateContent xmlns:mc="http://schemas.openxmlformats.org/markup-compatibility/2006">
          <mc:Choice Requires="x14">
            <control shapeId="2274853" r:id="rId205" name="Check Box 549">
              <controlPr defaultSize="0" autoFill="0" autoLine="0" autoPict="0">
                <anchor moveWithCells="1">
                  <from>
                    <xdr:col>11</xdr:col>
                    <xdr:colOff>83820</xdr:colOff>
                    <xdr:row>53</xdr:row>
                    <xdr:rowOff>45720</xdr:rowOff>
                  </from>
                  <to>
                    <xdr:col>12</xdr:col>
                    <xdr:colOff>0</xdr:colOff>
                    <xdr:row>53</xdr:row>
                    <xdr:rowOff>297180</xdr:rowOff>
                  </to>
                </anchor>
              </controlPr>
            </control>
          </mc:Choice>
        </mc:AlternateContent>
        <mc:AlternateContent xmlns:mc="http://schemas.openxmlformats.org/markup-compatibility/2006">
          <mc:Choice Requires="x14">
            <control shapeId="2274854" r:id="rId206" name="Check Box 550">
              <controlPr defaultSize="0" autoFill="0" autoLine="0" autoPict="0">
                <anchor moveWithCells="1">
                  <from>
                    <xdr:col>11</xdr:col>
                    <xdr:colOff>99060</xdr:colOff>
                    <xdr:row>54</xdr:row>
                    <xdr:rowOff>678180</xdr:rowOff>
                  </from>
                  <to>
                    <xdr:col>12</xdr:col>
                    <xdr:colOff>0</xdr:colOff>
                    <xdr:row>54</xdr:row>
                    <xdr:rowOff>922020</xdr:rowOff>
                  </to>
                </anchor>
              </controlPr>
            </control>
          </mc:Choice>
        </mc:AlternateContent>
        <mc:AlternateContent xmlns:mc="http://schemas.openxmlformats.org/markup-compatibility/2006">
          <mc:Choice Requires="x14">
            <control shapeId="2274855" r:id="rId207" name="Check Box 551">
              <controlPr defaultSize="0" autoFill="0" autoLine="0" autoPict="0">
                <anchor moveWithCells="1">
                  <from>
                    <xdr:col>11</xdr:col>
                    <xdr:colOff>99060</xdr:colOff>
                    <xdr:row>55</xdr:row>
                    <xdr:rowOff>594360</xdr:rowOff>
                  </from>
                  <to>
                    <xdr:col>12</xdr:col>
                    <xdr:colOff>0</xdr:colOff>
                    <xdr:row>55</xdr:row>
                    <xdr:rowOff>845820</xdr:rowOff>
                  </to>
                </anchor>
              </controlPr>
            </control>
          </mc:Choice>
        </mc:AlternateContent>
        <mc:AlternateContent xmlns:mc="http://schemas.openxmlformats.org/markup-compatibility/2006">
          <mc:Choice Requires="x14">
            <control shapeId="2274856" r:id="rId208" name="Check Box 552">
              <controlPr defaultSize="0" autoFill="0" autoLine="0" autoPict="0">
                <anchor moveWithCells="1">
                  <from>
                    <xdr:col>11</xdr:col>
                    <xdr:colOff>99060</xdr:colOff>
                    <xdr:row>56</xdr:row>
                    <xdr:rowOff>365760</xdr:rowOff>
                  </from>
                  <to>
                    <xdr:col>12</xdr:col>
                    <xdr:colOff>0</xdr:colOff>
                    <xdr:row>56</xdr:row>
                    <xdr:rowOff>609600</xdr:rowOff>
                  </to>
                </anchor>
              </controlPr>
            </control>
          </mc:Choice>
        </mc:AlternateContent>
        <mc:AlternateContent xmlns:mc="http://schemas.openxmlformats.org/markup-compatibility/2006">
          <mc:Choice Requires="x14">
            <control shapeId="2274857" r:id="rId209" name="Check Box 553">
              <controlPr defaultSize="0" autoFill="0" autoLine="0" autoPict="0">
                <anchor moveWithCells="1">
                  <from>
                    <xdr:col>11</xdr:col>
                    <xdr:colOff>99060</xdr:colOff>
                    <xdr:row>57</xdr:row>
                    <xdr:rowOff>304800</xdr:rowOff>
                  </from>
                  <to>
                    <xdr:col>12</xdr:col>
                    <xdr:colOff>0</xdr:colOff>
                    <xdr:row>57</xdr:row>
                    <xdr:rowOff>563880</xdr:rowOff>
                  </to>
                </anchor>
              </controlPr>
            </control>
          </mc:Choice>
        </mc:AlternateContent>
        <mc:AlternateContent xmlns:mc="http://schemas.openxmlformats.org/markup-compatibility/2006">
          <mc:Choice Requires="x14">
            <control shapeId="2274858" r:id="rId210" name="Check Box 554">
              <controlPr defaultSize="0" autoFill="0" autoLine="0" autoPict="0">
                <anchor moveWithCells="1">
                  <from>
                    <xdr:col>11</xdr:col>
                    <xdr:colOff>99060</xdr:colOff>
                    <xdr:row>58</xdr:row>
                    <xdr:rowOff>342900</xdr:rowOff>
                  </from>
                  <to>
                    <xdr:col>12</xdr:col>
                    <xdr:colOff>0</xdr:colOff>
                    <xdr:row>58</xdr:row>
                    <xdr:rowOff>579120</xdr:rowOff>
                  </to>
                </anchor>
              </controlPr>
            </control>
          </mc:Choice>
        </mc:AlternateContent>
        <mc:AlternateContent xmlns:mc="http://schemas.openxmlformats.org/markup-compatibility/2006">
          <mc:Choice Requires="x14">
            <control shapeId="2274859" r:id="rId211" name="Check Box 555">
              <controlPr defaultSize="0" autoFill="0" autoLine="0" autoPict="0">
                <anchor moveWithCells="1">
                  <from>
                    <xdr:col>11</xdr:col>
                    <xdr:colOff>99060</xdr:colOff>
                    <xdr:row>59</xdr:row>
                    <xdr:rowOff>754380</xdr:rowOff>
                  </from>
                  <to>
                    <xdr:col>12</xdr:col>
                    <xdr:colOff>0</xdr:colOff>
                    <xdr:row>59</xdr:row>
                    <xdr:rowOff>1013460</xdr:rowOff>
                  </to>
                </anchor>
              </controlPr>
            </control>
          </mc:Choice>
        </mc:AlternateContent>
        <mc:AlternateContent xmlns:mc="http://schemas.openxmlformats.org/markup-compatibility/2006">
          <mc:Choice Requires="x14">
            <control shapeId="2274860" r:id="rId212" name="Check Box 556">
              <controlPr defaultSize="0" autoFill="0" autoLine="0" autoPict="0">
                <anchor moveWithCells="1">
                  <from>
                    <xdr:col>11</xdr:col>
                    <xdr:colOff>99060</xdr:colOff>
                    <xdr:row>60</xdr:row>
                    <xdr:rowOff>876300</xdr:rowOff>
                  </from>
                  <to>
                    <xdr:col>12</xdr:col>
                    <xdr:colOff>0</xdr:colOff>
                    <xdr:row>60</xdr:row>
                    <xdr:rowOff>1135380</xdr:rowOff>
                  </to>
                </anchor>
              </controlPr>
            </control>
          </mc:Choice>
        </mc:AlternateContent>
        <mc:AlternateContent xmlns:mc="http://schemas.openxmlformats.org/markup-compatibility/2006">
          <mc:Choice Requires="x14">
            <control shapeId="2274861" r:id="rId213" name="Check Box 557">
              <controlPr defaultSize="0" autoFill="0" autoLine="0" autoPict="0">
                <anchor moveWithCells="1">
                  <from>
                    <xdr:col>11</xdr:col>
                    <xdr:colOff>99060</xdr:colOff>
                    <xdr:row>63</xdr:row>
                    <xdr:rowOff>45720</xdr:rowOff>
                  </from>
                  <to>
                    <xdr:col>12</xdr:col>
                    <xdr:colOff>0</xdr:colOff>
                    <xdr:row>63</xdr:row>
                    <xdr:rowOff>297180</xdr:rowOff>
                  </to>
                </anchor>
              </controlPr>
            </control>
          </mc:Choice>
        </mc:AlternateContent>
        <mc:AlternateContent xmlns:mc="http://schemas.openxmlformats.org/markup-compatibility/2006">
          <mc:Choice Requires="x14">
            <control shapeId="2274862" r:id="rId214" name="Check Box 558">
              <controlPr defaultSize="0" autoFill="0" autoLine="0" autoPict="0">
                <anchor moveWithCells="1">
                  <from>
                    <xdr:col>11</xdr:col>
                    <xdr:colOff>99060</xdr:colOff>
                    <xdr:row>64</xdr:row>
                    <xdr:rowOff>670560</xdr:rowOff>
                  </from>
                  <to>
                    <xdr:col>12</xdr:col>
                    <xdr:colOff>0</xdr:colOff>
                    <xdr:row>64</xdr:row>
                    <xdr:rowOff>914400</xdr:rowOff>
                  </to>
                </anchor>
              </controlPr>
            </control>
          </mc:Choice>
        </mc:AlternateContent>
        <mc:AlternateContent xmlns:mc="http://schemas.openxmlformats.org/markup-compatibility/2006">
          <mc:Choice Requires="x14">
            <control shapeId="2274863" r:id="rId215" name="Check Box 559">
              <controlPr defaultSize="0" autoFill="0" autoLine="0" autoPict="0">
                <anchor moveWithCells="1">
                  <from>
                    <xdr:col>11</xdr:col>
                    <xdr:colOff>99060</xdr:colOff>
                    <xdr:row>65</xdr:row>
                    <xdr:rowOff>45720</xdr:rowOff>
                  </from>
                  <to>
                    <xdr:col>12</xdr:col>
                    <xdr:colOff>0</xdr:colOff>
                    <xdr:row>65</xdr:row>
                    <xdr:rowOff>297180</xdr:rowOff>
                  </to>
                </anchor>
              </controlPr>
            </control>
          </mc:Choice>
        </mc:AlternateContent>
        <mc:AlternateContent xmlns:mc="http://schemas.openxmlformats.org/markup-compatibility/2006">
          <mc:Choice Requires="x14">
            <control shapeId="2274864" r:id="rId216" name="Check Box 560">
              <controlPr defaultSize="0" autoFill="0" autoLine="0" autoPict="0">
                <anchor moveWithCells="1">
                  <from>
                    <xdr:col>11</xdr:col>
                    <xdr:colOff>99060</xdr:colOff>
                    <xdr:row>66</xdr:row>
                    <xdr:rowOff>45720</xdr:rowOff>
                  </from>
                  <to>
                    <xdr:col>12</xdr:col>
                    <xdr:colOff>0</xdr:colOff>
                    <xdr:row>66</xdr:row>
                    <xdr:rowOff>297180</xdr:rowOff>
                  </to>
                </anchor>
              </controlPr>
            </control>
          </mc:Choice>
        </mc:AlternateContent>
        <mc:AlternateContent xmlns:mc="http://schemas.openxmlformats.org/markup-compatibility/2006">
          <mc:Choice Requires="x14">
            <control shapeId="2274865" r:id="rId217" name="Check Box 561">
              <controlPr defaultSize="0" autoFill="0" autoLine="0" autoPict="0">
                <anchor moveWithCells="1">
                  <from>
                    <xdr:col>11</xdr:col>
                    <xdr:colOff>99060</xdr:colOff>
                    <xdr:row>67</xdr:row>
                    <xdr:rowOff>45720</xdr:rowOff>
                  </from>
                  <to>
                    <xdr:col>12</xdr:col>
                    <xdr:colOff>0</xdr:colOff>
                    <xdr:row>67</xdr:row>
                    <xdr:rowOff>297180</xdr:rowOff>
                  </to>
                </anchor>
              </controlPr>
            </control>
          </mc:Choice>
        </mc:AlternateContent>
        <mc:AlternateContent xmlns:mc="http://schemas.openxmlformats.org/markup-compatibility/2006">
          <mc:Choice Requires="x14">
            <control shapeId="2274866" r:id="rId218" name="Check Box 562">
              <controlPr defaultSize="0" autoFill="0" autoLine="0" autoPict="0">
                <anchor moveWithCells="1">
                  <from>
                    <xdr:col>11</xdr:col>
                    <xdr:colOff>99060</xdr:colOff>
                    <xdr:row>68</xdr:row>
                    <xdr:rowOff>45720</xdr:rowOff>
                  </from>
                  <to>
                    <xdr:col>12</xdr:col>
                    <xdr:colOff>0</xdr:colOff>
                    <xdr:row>68</xdr:row>
                    <xdr:rowOff>297180</xdr:rowOff>
                  </to>
                </anchor>
              </controlPr>
            </control>
          </mc:Choice>
        </mc:AlternateContent>
        <mc:AlternateContent xmlns:mc="http://schemas.openxmlformats.org/markup-compatibility/2006">
          <mc:Choice Requires="x14">
            <control shapeId="2274867" r:id="rId219" name="Check Box 563">
              <controlPr defaultSize="0" autoFill="0" autoLine="0" autoPict="0">
                <anchor moveWithCells="1">
                  <from>
                    <xdr:col>11</xdr:col>
                    <xdr:colOff>99060</xdr:colOff>
                    <xdr:row>69</xdr:row>
                    <xdr:rowOff>45720</xdr:rowOff>
                  </from>
                  <to>
                    <xdr:col>12</xdr:col>
                    <xdr:colOff>0</xdr:colOff>
                    <xdr:row>69</xdr:row>
                    <xdr:rowOff>297180</xdr:rowOff>
                  </to>
                </anchor>
              </controlPr>
            </control>
          </mc:Choice>
        </mc:AlternateContent>
        <mc:AlternateContent xmlns:mc="http://schemas.openxmlformats.org/markup-compatibility/2006">
          <mc:Choice Requires="x14">
            <control shapeId="2274868" r:id="rId220" name="Check Box 564">
              <controlPr defaultSize="0" autoFill="0" autoLine="0" autoPict="0">
                <anchor moveWithCells="1">
                  <from>
                    <xdr:col>11</xdr:col>
                    <xdr:colOff>99060</xdr:colOff>
                    <xdr:row>70</xdr:row>
                    <xdr:rowOff>579120</xdr:rowOff>
                  </from>
                  <to>
                    <xdr:col>12</xdr:col>
                    <xdr:colOff>0</xdr:colOff>
                    <xdr:row>70</xdr:row>
                    <xdr:rowOff>830580</xdr:rowOff>
                  </to>
                </anchor>
              </controlPr>
            </control>
          </mc:Choice>
        </mc:AlternateContent>
        <mc:AlternateContent xmlns:mc="http://schemas.openxmlformats.org/markup-compatibility/2006">
          <mc:Choice Requires="x14">
            <control shapeId="2274869" r:id="rId221" name="Check Box 565">
              <controlPr defaultSize="0" autoFill="0" autoLine="0" autoPict="0">
                <anchor moveWithCells="1">
                  <from>
                    <xdr:col>11</xdr:col>
                    <xdr:colOff>99060</xdr:colOff>
                    <xdr:row>71</xdr:row>
                    <xdr:rowOff>45720</xdr:rowOff>
                  </from>
                  <to>
                    <xdr:col>12</xdr:col>
                    <xdr:colOff>0</xdr:colOff>
                    <xdr:row>71</xdr:row>
                    <xdr:rowOff>297180</xdr:rowOff>
                  </to>
                </anchor>
              </controlPr>
            </control>
          </mc:Choice>
        </mc:AlternateContent>
        <mc:AlternateContent xmlns:mc="http://schemas.openxmlformats.org/markup-compatibility/2006">
          <mc:Choice Requires="x14">
            <control shapeId="2274870" r:id="rId222" name="Check Box 566">
              <controlPr defaultSize="0" autoFill="0" autoLine="0" autoPict="0">
                <anchor moveWithCells="1">
                  <from>
                    <xdr:col>11</xdr:col>
                    <xdr:colOff>99060</xdr:colOff>
                    <xdr:row>72</xdr:row>
                    <xdr:rowOff>45720</xdr:rowOff>
                  </from>
                  <to>
                    <xdr:col>12</xdr:col>
                    <xdr:colOff>0</xdr:colOff>
                    <xdr:row>72</xdr:row>
                    <xdr:rowOff>297180</xdr:rowOff>
                  </to>
                </anchor>
              </controlPr>
            </control>
          </mc:Choice>
        </mc:AlternateContent>
        <mc:AlternateContent xmlns:mc="http://schemas.openxmlformats.org/markup-compatibility/2006">
          <mc:Choice Requires="x14">
            <control shapeId="2274871" r:id="rId223" name="Check Box 567">
              <controlPr defaultSize="0" autoFill="0" autoLine="0" autoPict="0">
                <anchor moveWithCells="1">
                  <from>
                    <xdr:col>11</xdr:col>
                    <xdr:colOff>99060</xdr:colOff>
                    <xdr:row>73</xdr:row>
                    <xdr:rowOff>45720</xdr:rowOff>
                  </from>
                  <to>
                    <xdr:col>12</xdr:col>
                    <xdr:colOff>0</xdr:colOff>
                    <xdr:row>73</xdr:row>
                    <xdr:rowOff>297180</xdr:rowOff>
                  </to>
                </anchor>
              </controlPr>
            </control>
          </mc:Choice>
        </mc:AlternateContent>
        <mc:AlternateContent xmlns:mc="http://schemas.openxmlformats.org/markup-compatibility/2006">
          <mc:Choice Requires="x14">
            <control shapeId="2274872" r:id="rId224" name="Check Box 568">
              <controlPr defaultSize="0" autoFill="0" autoLine="0" autoPict="0">
                <anchor moveWithCells="1">
                  <from>
                    <xdr:col>11</xdr:col>
                    <xdr:colOff>99060</xdr:colOff>
                    <xdr:row>74</xdr:row>
                    <xdr:rowOff>45720</xdr:rowOff>
                  </from>
                  <to>
                    <xdr:col>12</xdr:col>
                    <xdr:colOff>0</xdr:colOff>
                    <xdr:row>74</xdr:row>
                    <xdr:rowOff>274320</xdr:rowOff>
                  </to>
                </anchor>
              </controlPr>
            </control>
          </mc:Choice>
        </mc:AlternateContent>
        <mc:AlternateContent xmlns:mc="http://schemas.openxmlformats.org/markup-compatibility/2006">
          <mc:Choice Requires="x14">
            <control shapeId="2274873" r:id="rId225" name="Check Box 569">
              <controlPr defaultSize="0" autoFill="0" autoLine="0" autoPict="0">
                <anchor moveWithCells="1">
                  <from>
                    <xdr:col>11</xdr:col>
                    <xdr:colOff>99060</xdr:colOff>
                    <xdr:row>76</xdr:row>
                    <xdr:rowOff>45720</xdr:rowOff>
                  </from>
                  <to>
                    <xdr:col>12</xdr:col>
                    <xdr:colOff>0</xdr:colOff>
                    <xdr:row>76</xdr:row>
                    <xdr:rowOff>274320</xdr:rowOff>
                  </to>
                </anchor>
              </controlPr>
            </control>
          </mc:Choice>
        </mc:AlternateContent>
        <mc:AlternateContent xmlns:mc="http://schemas.openxmlformats.org/markup-compatibility/2006">
          <mc:Choice Requires="x14">
            <control shapeId="2274874" r:id="rId226" name="Check Box 570">
              <controlPr defaultSize="0" autoFill="0" autoLine="0" autoPict="0">
                <anchor moveWithCells="1">
                  <from>
                    <xdr:col>11</xdr:col>
                    <xdr:colOff>99060</xdr:colOff>
                    <xdr:row>77</xdr:row>
                    <xdr:rowOff>45720</xdr:rowOff>
                  </from>
                  <to>
                    <xdr:col>12</xdr:col>
                    <xdr:colOff>0</xdr:colOff>
                    <xdr:row>77</xdr:row>
                    <xdr:rowOff>274320</xdr:rowOff>
                  </to>
                </anchor>
              </controlPr>
            </control>
          </mc:Choice>
        </mc:AlternateContent>
        <mc:AlternateContent xmlns:mc="http://schemas.openxmlformats.org/markup-compatibility/2006">
          <mc:Choice Requires="x14">
            <control shapeId="2274875" r:id="rId227" name="Check Box 571">
              <controlPr defaultSize="0" autoFill="0" autoLine="0" autoPict="0">
                <anchor moveWithCells="1">
                  <from>
                    <xdr:col>11</xdr:col>
                    <xdr:colOff>99060</xdr:colOff>
                    <xdr:row>78</xdr:row>
                    <xdr:rowOff>45720</xdr:rowOff>
                  </from>
                  <to>
                    <xdr:col>12</xdr:col>
                    <xdr:colOff>0</xdr:colOff>
                    <xdr:row>78</xdr:row>
                    <xdr:rowOff>274320</xdr:rowOff>
                  </to>
                </anchor>
              </controlPr>
            </control>
          </mc:Choice>
        </mc:AlternateContent>
        <mc:AlternateContent xmlns:mc="http://schemas.openxmlformats.org/markup-compatibility/2006">
          <mc:Choice Requires="x14">
            <control shapeId="2274876" r:id="rId228" name="Check Box 572">
              <controlPr defaultSize="0" autoFill="0" autoLine="0" autoPict="0">
                <anchor moveWithCells="1">
                  <from>
                    <xdr:col>11</xdr:col>
                    <xdr:colOff>99060</xdr:colOff>
                    <xdr:row>79</xdr:row>
                    <xdr:rowOff>45720</xdr:rowOff>
                  </from>
                  <to>
                    <xdr:col>12</xdr:col>
                    <xdr:colOff>0</xdr:colOff>
                    <xdr:row>79</xdr:row>
                    <xdr:rowOff>274320</xdr:rowOff>
                  </to>
                </anchor>
              </controlPr>
            </control>
          </mc:Choice>
        </mc:AlternateContent>
        <mc:AlternateContent xmlns:mc="http://schemas.openxmlformats.org/markup-compatibility/2006">
          <mc:Choice Requires="x14">
            <control shapeId="2274877" r:id="rId229" name="Check Box 573">
              <controlPr defaultSize="0" autoFill="0" autoLine="0" autoPict="0">
                <anchor moveWithCells="1">
                  <from>
                    <xdr:col>11</xdr:col>
                    <xdr:colOff>99060</xdr:colOff>
                    <xdr:row>80</xdr:row>
                    <xdr:rowOff>45720</xdr:rowOff>
                  </from>
                  <to>
                    <xdr:col>12</xdr:col>
                    <xdr:colOff>0</xdr:colOff>
                    <xdr:row>80</xdr:row>
                    <xdr:rowOff>274320</xdr:rowOff>
                  </to>
                </anchor>
              </controlPr>
            </control>
          </mc:Choice>
        </mc:AlternateContent>
        <mc:AlternateContent xmlns:mc="http://schemas.openxmlformats.org/markup-compatibility/2006">
          <mc:Choice Requires="x14">
            <control shapeId="2274878" r:id="rId230" name="Check Box 574">
              <controlPr defaultSize="0" autoFill="0" autoLine="0" autoPict="0">
                <anchor moveWithCells="1">
                  <from>
                    <xdr:col>11</xdr:col>
                    <xdr:colOff>99060</xdr:colOff>
                    <xdr:row>82</xdr:row>
                    <xdr:rowOff>762000</xdr:rowOff>
                  </from>
                  <to>
                    <xdr:col>12</xdr:col>
                    <xdr:colOff>0</xdr:colOff>
                    <xdr:row>82</xdr:row>
                    <xdr:rowOff>998220</xdr:rowOff>
                  </to>
                </anchor>
              </controlPr>
            </control>
          </mc:Choice>
        </mc:AlternateContent>
        <mc:AlternateContent xmlns:mc="http://schemas.openxmlformats.org/markup-compatibility/2006">
          <mc:Choice Requires="x14">
            <control shapeId="2274879" r:id="rId231" name="Check Box 575">
              <controlPr defaultSize="0" autoFill="0" autoLine="0" autoPict="0">
                <anchor moveWithCells="1">
                  <from>
                    <xdr:col>11</xdr:col>
                    <xdr:colOff>99060</xdr:colOff>
                    <xdr:row>84</xdr:row>
                    <xdr:rowOff>45720</xdr:rowOff>
                  </from>
                  <to>
                    <xdr:col>12</xdr:col>
                    <xdr:colOff>0</xdr:colOff>
                    <xdr:row>84</xdr:row>
                    <xdr:rowOff>274320</xdr:rowOff>
                  </to>
                </anchor>
              </controlPr>
            </control>
          </mc:Choice>
        </mc:AlternateContent>
        <mc:AlternateContent xmlns:mc="http://schemas.openxmlformats.org/markup-compatibility/2006">
          <mc:Choice Requires="x14">
            <control shapeId="2274880" r:id="rId232" name="Check Box 576">
              <controlPr defaultSize="0" autoFill="0" autoLine="0" autoPict="0">
                <anchor moveWithCells="1">
                  <from>
                    <xdr:col>11</xdr:col>
                    <xdr:colOff>99060</xdr:colOff>
                    <xdr:row>85</xdr:row>
                    <xdr:rowOff>45720</xdr:rowOff>
                  </from>
                  <to>
                    <xdr:col>12</xdr:col>
                    <xdr:colOff>0</xdr:colOff>
                    <xdr:row>85</xdr:row>
                    <xdr:rowOff>274320</xdr:rowOff>
                  </to>
                </anchor>
              </controlPr>
            </control>
          </mc:Choice>
        </mc:AlternateContent>
        <mc:AlternateContent xmlns:mc="http://schemas.openxmlformats.org/markup-compatibility/2006">
          <mc:Choice Requires="x14">
            <control shapeId="2274881" r:id="rId233" name="Check Box 577">
              <controlPr defaultSize="0" autoFill="0" autoLine="0" autoPict="0">
                <anchor moveWithCells="1">
                  <from>
                    <xdr:col>11</xdr:col>
                    <xdr:colOff>99060</xdr:colOff>
                    <xdr:row>86</xdr:row>
                    <xdr:rowOff>45720</xdr:rowOff>
                  </from>
                  <to>
                    <xdr:col>12</xdr:col>
                    <xdr:colOff>0</xdr:colOff>
                    <xdr:row>86</xdr:row>
                    <xdr:rowOff>274320</xdr:rowOff>
                  </to>
                </anchor>
              </controlPr>
            </control>
          </mc:Choice>
        </mc:AlternateContent>
        <mc:AlternateContent xmlns:mc="http://schemas.openxmlformats.org/markup-compatibility/2006">
          <mc:Choice Requires="x14">
            <control shapeId="2274882" r:id="rId234" name="Check Box 578">
              <controlPr defaultSize="0" autoFill="0" autoLine="0" autoPict="0">
                <anchor moveWithCells="1">
                  <from>
                    <xdr:col>11</xdr:col>
                    <xdr:colOff>99060</xdr:colOff>
                    <xdr:row>87</xdr:row>
                    <xdr:rowOff>45720</xdr:rowOff>
                  </from>
                  <to>
                    <xdr:col>12</xdr:col>
                    <xdr:colOff>0</xdr:colOff>
                    <xdr:row>87</xdr:row>
                    <xdr:rowOff>274320</xdr:rowOff>
                  </to>
                </anchor>
              </controlPr>
            </control>
          </mc:Choice>
        </mc:AlternateContent>
        <mc:AlternateContent xmlns:mc="http://schemas.openxmlformats.org/markup-compatibility/2006">
          <mc:Choice Requires="x14">
            <control shapeId="2274883" r:id="rId235" name="Check Box 579">
              <controlPr defaultSize="0" autoFill="0" autoLine="0" autoPict="0">
                <anchor moveWithCells="1">
                  <from>
                    <xdr:col>11</xdr:col>
                    <xdr:colOff>99060</xdr:colOff>
                    <xdr:row>88</xdr:row>
                    <xdr:rowOff>45720</xdr:rowOff>
                  </from>
                  <to>
                    <xdr:col>12</xdr:col>
                    <xdr:colOff>0</xdr:colOff>
                    <xdr:row>88</xdr:row>
                    <xdr:rowOff>274320</xdr:rowOff>
                  </to>
                </anchor>
              </controlPr>
            </control>
          </mc:Choice>
        </mc:AlternateContent>
        <mc:AlternateContent xmlns:mc="http://schemas.openxmlformats.org/markup-compatibility/2006">
          <mc:Choice Requires="x14">
            <control shapeId="2274884" r:id="rId236" name="Check Box 580">
              <controlPr defaultSize="0" autoFill="0" autoLine="0" autoPict="0">
                <anchor moveWithCells="1">
                  <from>
                    <xdr:col>11</xdr:col>
                    <xdr:colOff>99060</xdr:colOff>
                    <xdr:row>89</xdr:row>
                    <xdr:rowOff>45720</xdr:rowOff>
                  </from>
                  <to>
                    <xdr:col>12</xdr:col>
                    <xdr:colOff>0</xdr:colOff>
                    <xdr:row>89</xdr:row>
                    <xdr:rowOff>274320</xdr:rowOff>
                  </to>
                </anchor>
              </controlPr>
            </control>
          </mc:Choice>
        </mc:AlternateContent>
        <mc:AlternateContent xmlns:mc="http://schemas.openxmlformats.org/markup-compatibility/2006">
          <mc:Choice Requires="x14">
            <control shapeId="2274885" r:id="rId237" name="Check Box 581">
              <controlPr defaultSize="0" autoFill="0" autoLine="0" autoPict="0">
                <anchor moveWithCells="1">
                  <from>
                    <xdr:col>11</xdr:col>
                    <xdr:colOff>99060</xdr:colOff>
                    <xdr:row>90</xdr:row>
                    <xdr:rowOff>45720</xdr:rowOff>
                  </from>
                  <to>
                    <xdr:col>12</xdr:col>
                    <xdr:colOff>0</xdr:colOff>
                    <xdr:row>90</xdr:row>
                    <xdr:rowOff>274320</xdr:rowOff>
                  </to>
                </anchor>
              </controlPr>
            </control>
          </mc:Choice>
        </mc:AlternateContent>
        <mc:AlternateContent xmlns:mc="http://schemas.openxmlformats.org/markup-compatibility/2006">
          <mc:Choice Requires="x14">
            <control shapeId="2274886" r:id="rId238" name="Check Box 582">
              <controlPr defaultSize="0" autoFill="0" autoLine="0" autoPict="0">
                <anchor moveWithCells="1">
                  <from>
                    <xdr:col>11</xdr:col>
                    <xdr:colOff>99060</xdr:colOff>
                    <xdr:row>91</xdr:row>
                    <xdr:rowOff>45720</xdr:rowOff>
                  </from>
                  <to>
                    <xdr:col>12</xdr:col>
                    <xdr:colOff>0</xdr:colOff>
                    <xdr:row>91</xdr:row>
                    <xdr:rowOff>274320</xdr:rowOff>
                  </to>
                </anchor>
              </controlPr>
            </control>
          </mc:Choice>
        </mc:AlternateContent>
        <mc:AlternateContent xmlns:mc="http://schemas.openxmlformats.org/markup-compatibility/2006">
          <mc:Choice Requires="x14">
            <control shapeId="2274887" r:id="rId239" name="Check Box 583">
              <controlPr defaultSize="0" autoFill="0" autoLine="0" autoPict="0">
                <anchor moveWithCells="1">
                  <from>
                    <xdr:col>11</xdr:col>
                    <xdr:colOff>99060</xdr:colOff>
                    <xdr:row>92</xdr:row>
                    <xdr:rowOff>45720</xdr:rowOff>
                  </from>
                  <to>
                    <xdr:col>12</xdr:col>
                    <xdr:colOff>0</xdr:colOff>
                    <xdr:row>92</xdr:row>
                    <xdr:rowOff>274320</xdr:rowOff>
                  </to>
                </anchor>
              </controlPr>
            </control>
          </mc:Choice>
        </mc:AlternateContent>
        <mc:AlternateContent xmlns:mc="http://schemas.openxmlformats.org/markup-compatibility/2006">
          <mc:Choice Requires="x14">
            <control shapeId="2274888" r:id="rId240" name="Check Box 584">
              <controlPr defaultSize="0" autoFill="0" autoLine="0" autoPict="0">
                <anchor moveWithCells="1">
                  <from>
                    <xdr:col>11</xdr:col>
                    <xdr:colOff>99060</xdr:colOff>
                    <xdr:row>94</xdr:row>
                    <xdr:rowOff>45720</xdr:rowOff>
                  </from>
                  <to>
                    <xdr:col>12</xdr:col>
                    <xdr:colOff>0</xdr:colOff>
                    <xdr:row>94</xdr:row>
                    <xdr:rowOff>274320</xdr:rowOff>
                  </to>
                </anchor>
              </controlPr>
            </control>
          </mc:Choice>
        </mc:AlternateContent>
        <mc:AlternateContent xmlns:mc="http://schemas.openxmlformats.org/markup-compatibility/2006">
          <mc:Choice Requires="x14">
            <control shapeId="2274889" r:id="rId241" name="Check Box 585">
              <controlPr defaultSize="0" autoFill="0" autoLine="0" autoPict="0">
                <anchor moveWithCells="1">
                  <from>
                    <xdr:col>11</xdr:col>
                    <xdr:colOff>99060</xdr:colOff>
                    <xdr:row>95</xdr:row>
                    <xdr:rowOff>45720</xdr:rowOff>
                  </from>
                  <to>
                    <xdr:col>12</xdr:col>
                    <xdr:colOff>0</xdr:colOff>
                    <xdr:row>95</xdr:row>
                    <xdr:rowOff>274320</xdr:rowOff>
                  </to>
                </anchor>
              </controlPr>
            </control>
          </mc:Choice>
        </mc:AlternateContent>
        <mc:AlternateContent xmlns:mc="http://schemas.openxmlformats.org/markup-compatibility/2006">
          <mc:Choice Requires="x14">
            <control shapeId="2274890" r:id="rId242" name="Check Box 586">
              <controlPr defaultSize="0" autoFill="0" autoLine="0" autoPict="0">
                <anchor moveWithCells="1">
                  <from>
                    <xdr:col>11</xdr:col>
                    <xdr:colOff>99060</xdr:colOff>
                    <xdr:row>96</xdr:row>
                    <xdr:rowOff>45720</xdr:rowOff>
                  </from>
                  <to>
                    <xdr:col>12</xdr:col>
                    <xdr:colOff>0</xdr:colOff>
                    <xdr:row>96</xdr:row>
                    <xdr:rowOff>274320</xdr:rowOff>
                  </to>
                </anchor>
              </controlPr>
            </control>
          </mc:Choice>
        </mc:AlternateContent>
        <mc:AlternateContent xmlns:mc="http://schemas.openxmlformats.org/markup-compatibility/2006">
          <mc:Choice Requires="x14">
            <control shapeId="2274891" r:id="rId243" name="Check Box 587">
              <controlPr defaultSize="0" autoFill="0" autoLine="0" autoPict="0">
                <anchor moveWithCells="1">
                  <from>
                    <xdr:col>11</xdr:col>
                    <xdr:colOff>99060</xdr:colOff>
                    <xdr:row>97</xdr:row>
                    <xdr:rowOff>45720</xdr:rowOff>
                  </from>
                  <to>
                    <xdr:col>12</xdr:col>
                    <xdr:colOff>0</xdr:colOff>
                    <xdr:row>97</xdr:row>
                    <xdr:rowOff>274320</xdr:rowOff>
                  </to>
                </anchor>
              </controlPr>
            </control>
          </mc:Choice>
        </mc:AlternateContent>
        <mc:AlternateContent xmlns:mc="http://schemas.openxmlformats.org/markup-compatibility/2006">
          <mc:Choice Requires="x14">
            <control shapeId="2274892" r:id="rId244" name="Check Box 588">
              <controlPr defaultSize="0" autoFill="0" autoLine="0" autoPict="0">
                <anchor moveWithCells="1">
                  <from>
                    <xdr:col>11</xdr:col>
                    <xdr:colOff>99060</xdr:colOff>
                    <xdr:row>98</xdr:row>
                    <xdr:rowOff>45720</xdr:rowOff>
                  </from>
                  <to>
                    <xdr:col>12</xdr:col>
                    <xdr:colOff>0</xdr:colOff>
                    <xdr:row>98</xdr:row>
                    <xdr:rowOff>274320</xdr:rowOff>
                  </to>
                </anchor>
              </controlPr>
            </control>
          </mc:Choice>
        </mc:AlternateContent>
        <mc:AlternateContent xmlns:mc="http://schemas.openxmlformats.org/markup-compatibility/2006">
          <mc:Choice Requires="x14">
            <control shapeId="2274893" r:id="rId245" name="Check Box 589">
              <controlPr defaultSize="0" autoFill="0" autoLine="0" autoPict="0">
                <anchor moveWithCells="1">
                  <from>
                    <xdr:col>11</xdr:col>
                    <xdr:colOff>99060</xdr:colOff>
                    <xdr:row>99</xdr:row>
                    <xdr:rowOff>731520</xdr:rowOff>
                  </from>
                  <to>
                    <xdr:col>12</xdr:col>
                    <xdr:colOff>0</xdr:colOff>
                    <xdr:row>99</xdr:row>
                    <xdr:rowOff>960120</xdr:rowOff>
                  </to>
                </anchor>
              </controlPr>
            </control>
          </mc:Choice>
        </mc:AlternateContent>
        <mc:AlternateContent xmlns:mc="http://schemas.openxmlformats.org/markup-compatibility/2006">
          <mc:Choice Requires="x14">
            <control shapeId="2274894" r:id="rId246" name="Check Box 590">
              <controlPr defaultSize="0" autoFill="0" autoLine="0" autoPict="0">
                <anchor moveWithCells="1">
                  <from>
                    <xdr:col>11</xdr:col>
                    <xdr:colOff>99060</xdr:colOff>
                    <xdr:row>101</xdr:row>
                    <xdr:rowOff>45720</xdr:rowOff>
                  </from>
                  <to>
                    <xdr:col>12</xdr:col>
                    <xdr:colOff>0</xdr:colOff>
                    <xdr:row>101</xdr:row>
                    <xdr:rowOff>274320</xdr:rowOff>
                  </to>
                </anchor>
              </controlPr>
            </control>
          </mc:Choice>
        </mc:AlternateContent>
        <mc:AlternateContent xmlns:mc="http://schemas.openxmlformats.org/markup-compatibility/2006">
          <mc:Choice Requires="x14">
            <control shapeId="2274895" r:id="rId247" name="Check Box 591">
              <controlPr defaultSize="0" autoFill="0" autoLine="0" autoPict="0">
                <anchor moveWithCells="1">
                  <from>
                    <xdr:col>11</xdr:col>
                    <xdr:colOff>99060</xdr:colOff>
                    <xdr:row>102</xdr:row>
                    <xdr:rowOff>45720</xdr:rowOff>
                  </from>
                  <to>
                    <xdr:col>12</xdr:col>
                    <xdr:colOff>0</xdr:colOff>
                    <xdr:row>102</xdr:row>
                    <xdr:rowOff>274320</xdr:rowOff>
                  </to>
                </anchor>
              </controlPr>
            </control>
          </mc:Choice>
        </mc:AlternateContent>
        <mc:AlternateContent xmlns:mc="http://schemas.openxmlformats.org/markup-compatibility/2006">
          <mc:Choice Requires="x14">
            <control shapeId="2274896" r:id="rId248" name="Check Box 592">
              <controlPr defaultSize="0" autoFill="0" autoLine="0" autoPict="0">
                <anchor moveWithCells="1">
                  <from>
                    <xdr:col>11</xdr:col>
                    <xdr:colOff>99060</xdr:colOff>
                    <xdr:row>103</xdr:row>
                    <xdr:rowOff>800100</xdr:rowOff>
                  </from>
                  <to>
                    <xdr:col>12</xdr:col>
                    <xdr:colOff>0</xdr:colOff>
                    <xdr:row>103</xdr:row>
                    <xdr:rowOff>1036320</xdr:rowOff>
                  </to>
                </anchor>
              </controlPr>
            </control>
          </mc:Choice>
        </mc:AlternateContent>
        <mc:AlternateContent xmlns:mc="http://schemas.openxmlformats.org/markup-compatibility/2006">
          <mc:Choice Requires="x14">
            <control shapeId="2274897" r:id="rId249" name="Check Box 593">
              <controlPr defaultSize="0" autoFill="0" autoLine="0" autoPict="0">
                <anchor moveWithCells="1">
                  <from>
                    <xdr:col>11</xdr:col>
                    <xdr:colOff>99060</xdr:colOff>
                    <xdr:row>104</xdr:row>
                    <xdr:rowOff>746760</xdr:rowOff>
                  </from>
                  <to>
                    <xdr:col>12</xdr:col>
                    <xdr:colOff>0</xdr:colOff>
                    <xdr:row>104</xdr:row>
                    <xdr:rowOff>960120</xdr:rowOff>
                  </to>
                </anchor>
              </controlPr>
            </control>
          </mc:Choice>
        </mc:AlternateContent>
        <mc:AlternateContent xmlns:mc="http://schemas.openxmlformats.org/markup-compatibility/2006">
          <mc:Choice Requires="x14">
            <control shapeId="2274898" r:id="rId250" name="Check Box 594">
              <controlPr defaultSize="0" autoFill="0" autoLine="0" autoPict="0">
                <anchor moveWithCells="1">
                  <from>
                    <xdr:col>11</xdr:col>
                    <xdr:colOff>99060</xdr:colOff>
                    <xdr:row>106</xdr:row>
                    <xdr:rowOff>830580</xdr:rowOff>
                  </from>
                  <to>
                    <xdr:col>12</xdr:col>
                    <xdr:colOff>0</xdr:colOff>
                    <xdr:row>106</xdr:row>
                    <xdr:rowOff>1059180</xdr:rowOff>
                  </to>
                </anchor>
              </controlPr>
            </control>
          </mc:Choice>
        </mc:AlternateContent>
        <mc:AlternateContent xmlns:mc="http://schemas.openxmlformats.org/markup-compatibility/2006">
          <mc:Choice Requires="x14">
            <control shapeId="2274899" r:id="rId251" name="Check Box 595">
              <controlPr defaultSize="0" autoFill="0" autoLine="0" autoPict="0">
                <anchor moveWithCells="1">
                  <from>
                    <xdr:col>11</xdr:col>
                    <xdr:colOff>99060</xdr:colOff>
                    <xdr:row>107</xdr:row>
                    <xdr:rowOff>45720</xdr:rowOff>
                  </from>
                  <to>
                    <xdr:col>12</xdr:col>
                    <xdr:colOff>0</xdr:colOff>
                    <xdr:row>107</xdr:row>
                    <xdr:rowOff>274320</xdr:rowOff>
                  </to>
                </anchor>
              </controlPr>
            </control>
          </mc:Choice>
        </mc:AlternateContent>
        <mc:AlternateContent xmlns:mc="http://schemas.openxmlformats.org/markup-compatibility/2006">
          <mc:Choice Requires="x14">
            <control shapeId="2274900" r:id="rId252" name="Check Box 596">
              <controlPr defaultSize="0" autoFill="0" autoLine="0" autoPict="0">
                <anchor moveWithCells="1">
                  <from>
                    <xdr:col>11</xdr:col>
                    <xdr:colOff>99060</xdr:colOff>
                    <xdr:row>108</xdr:row>
                    <xdr:rowOff>45720</xdr:rowOff>
                  </from>
                  <to>
                    <xdr:col>12</xdr:col>
                    <xdr:colOff>0</xdr:colOff>
                    <xdr:row>108</xdr:row>
                    <xdr:rowOff>274320</xdr:rowOff>
                  </to>
                </anchor>
              </controlPr>
            </control>
          </mc:Choice>
        </mc:AlternateContent>
        <mc:AlternateContent xmlns:mc="http://schemas.openxmlformats.org/markup-compatibility/2006">
          <mc:Choice Requires="x14">
            <control shapeId="2274901" r:id="rId253" name="Check Box 597">
              <controlPr defaultSize="0" autoFill="0" autoLine="0" autoPict="0">
                <anchor moveWithCells="1">
                  <from>
                    <xdr:col>11</xdr:col>
                    <xdr:colOff>99060</xdr:colOff>
                    <xdr:row>109</xdr:row>
                    <xdr:rowOff>45720</xdr:rowOff>
                  </from>
                  <to>
                    <xdr:col>12</xdr:col>
                    <xdr:colOff>0</xdr:colOff>
                    <xdr:row>109</xdr:row>
                    <xdr:rowOff>274320</xdr:rowOff>
                  </to>
                </anchor>
              </controlPr>
            </control>
          </mc:Choice>
        </mc:AlternateContent>
        <mc:AlternateContent xmlns:mc="http://schemas.openxmlformats.org/markup-compatibility/2006">
          <mc:Choice Requires="x14">
            <control shapeId="2274902" r:id="rId254" name="Check Box 598">
              <controlPr defaultSize="0" autoFill="0" autoLine="0" autoPict="0">
                <anchor moveWithCells="1">
                  <from>
                    <xdr:col>11</xdr:col>
                    <xdr:colOff>99060</xdr:colOff>
                    <xdr:row>110</xdr:row>
                    <xdr:rowOff>45720</xdr:rowOff>
                  </from>
                  <to>
                    <xdr:col>12</xdr:col>
                    <xdr:colOff>0</xdr:colOff>
                    <xdr:row>110</xdr:row>
                    <xdr:rowOff>274320</xdr:rowOff>
                  </to>
                </anchor>
              </controlPr>
            </control>
          </mc:Choice>
        </mc:AlternateContent>
        <mc:AlternateContent xmlns:mc="http://schemas.openxmlformats.org/markup-compatibility/2006">
          <mc:Choice Requires="x14">
            <control shapeId="2274903" r:id="rId255" name="Check Box 599">
              <controlPr defaultSize="0" autoFill="0" autoLine="0" autoPict="0">
                <anchor moveWithCells="1">
                  <from>
                    <xdr:col>11</xdr:col>
                    <xdr:colOff>99060</xdr:colOff>
                    <xdr:row>111</xdr:row>
                    <xdr:rowOff>45720</xdr:rowOff>
                  </from>
                  <to>
                    <xdr:col>12</xdr:col>
                    <xdr:colOff>0</xdr:colOff>
                    <xdr:row>111</xdr:row>
                    <xdr:rowOff>274320</xdr:rowOff>
                  </to>
                </anchor>
              </controlPr>
            </control>
          </mc:Choice>
        </mc:AlternateContent>
        <mc:AlternateContent xmlns:mc="http://schemas.openxmlformats.org/markup-compatibility/2006">
          <mc:Choice Requires="x14">
            <control shapeId="2274904" r:id="rId256" name="Check Box 600">
              <controlPr defaultSize="0" autoFill="0" autoLine="0" autoPict="0">
                <anchor moveWithCells="1">
                  <from>
                    <xdr:col>11</xdr:col>
                    <xdr:colOff>99060</xdr:colOff>
                    <xdr:row>112</xdr:row>
                    <xdr:rowOff>45720</xdr:rowOff>
                  </from>
                  <to>
                    <xdr:col>12</xdr:col>
                    <xdr:colOff>0</xdr:colOff>
                    <xdr:row>112</xdr:row>
                    <xdr:rowOff>274320</xdr:rowOff>
                  </to>
                </anchor>
              </controlPr>
            </control>
          </mc:Choice>
        </mc:AlternateContent>
        <mc:AlternateContent xmlns:mc="http://schemas.openxmlformats.org/markup-compatibility/2006">
          <mc:Choice Requires="x14">
            <control shapeId="2274905" r:id="rId257" name="Check Box 601">
              <controlPr defaultSize="0" autoFill="0" autoLine="0" autoPict="0">
                <anchor moveWithCells="1">
                  <from>
                    <xdr:col>11</xdr:col>
                    <xdr:colOff>99060</xdr:colOff>
                    <xdr:row>113</xdr:row>
                    <xdr:rowOff>45720</xdr:rowOff>
                  </from>
                  <to>
                    <xdr:col>12</xdr:col>
                    <xdr:colOff>0</xdr:colOff>
                    <xdr:row>113</xdr:row>
                    <xdr:rowOff>274320</xdr:rowOff>
                  </to>
                </anchor>
              </controlPr>
            </control>
          </mc:Choice>
        </mc:AlternateContent>
        <mc:AlternateContent xmlns:mc="http://schemas.openxmlformats.org/markup-compatibility/2006">
          <mc:Choice Requires="x14">
            <control shapeId="2274906" r:id="rId258" name="Check Box 602">
              <controlPr defaultSize="0" autoFill="0" autoLine="0" autoPict="0">
                <anchor moveWithCells="1">
                  <from>
                    <xdr:col>11</xdr:col>
                    <xdr:colOff>99060</xdr:colOff>
                    <xdr:row>114</xdr:row>
                    <xdr:rowOff>45720</xdr:rowOff>
                  </from>
                  <to>
                    <xdr:col>12</xdr:col>
                    <xdr:colOff>0</xdr:colOff>
                    <xdr:row>114</xdr:row>
                    <xdr:rowOff>274320</xdr:rowOff>
                  </to>
                </anchor>
              </controlPr>
            </control>
          </mc:Choice>
        </mc:AlternateContent>
        <mc:AlternateContent xmlns:mc="http://schemas.openxmlformats.org/markup-compatibility/2006">
          <mc:Choice Requires="x14">
            <control shapeId="2274910" r:id="rId259" name="Group Box 606">
              <controlPr defaultSize="0" autoFill="0" autoPict="0">
                <anchor moveWithCells="1">
                  <from>
                    <xdr:col>7</xdr:col>
                    <xdr:colOff>99060</xdr:colOff>
                    <xdr:row>46</xdr:row>
                    <xdr:rowOff>373380</xdr:rowOff>
                  </from>
                  <to>
                    <xdr:col>10</xdr:col>
                    <xdr:colOff>0</xdr:colOff>
                    <xdr:row>47</xdr:row>
                    <xdr:rowOff>1036320</xdr:rowOff>
                  </to>
                </anchor>
              </controlPr>
            </control>
          </mc:Choice>
        </mc:AlternateContent>
        <mc:AlternateContent xmlns:mc="http://schemas.openxmlformats.org/markup-compatibility/2006">
          <mc:Choice Requires="x14">
            <control shapeId="2274911" r:id="rId260" name="Check Box 607">
              <controlPr defaultSize="0" autoFill="0" autoLine="0" autoPict="0">
                <anchor moveWithCells="1">
                  <from>
                    <xdr:col>11</xdr:col>
                    <xdr:colOff>99060</xdr:colOff>
                    <xdr:row>46</xdr:row>
                    <xdr:rowOff>76200</xdr:rowOff>
                  </from>
                  <to>
                    <xdr:col>12</xdr:col>
                    <xdr:colOff>0</xdr:colOff>
                    <xdr:row>46</xdr:row>
                    <xdr:rowOff>304800</xdr:rowOff>
                  </to>
                </anchor>
              </controlPr>
            </control>
          </mc:Choice>
        </mc:AlternateContent>
        <mc:AlternateContent xmlns:mc="http://schemas.openxmlformats.org/markup-compatibility/2006">
          <mc:Choice Requires="x14">
            <control shapeId="2274912" r:id="rId261" name="Group Box 608">
              <controlPr defaultSize="0" autoFill="0" autoPict="0">
                <anchor moveWithCells="1">
                  <from>
                    <xdr:col>7</xdr:col>
                    <xdr:colOff>121920</xdr:colOff>
                    <xdr:row>46</xdr:row>
                    <xdr:rowOff>68580</xdr:rowOff>
                  </from>
                  <to>
                    <xdr:col>10</xdr:col>
                    <xdr:colOff>0</xdr:colOff>
                    <xdr:row>46</xdr:row>
                    <xdr:rowOff>365760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pageSetUpPr fitToPage="1"/>
  </sheetPr>
  <dimension ref="A1:S38"/>
  <sheetViews>
    <sheetView showGridLines="0" workbookViewId="0">
      <selection activeCell="M6" sqref="M6"/>
    </sheetView>
  </sheetViews>
  <sheetFormatPr defaultColWidth="0" defaultRowHeight="13.5" customHeight="1" zeroHeight="1"/>
  <cols>
    <col min="1" max="1" width="1.109375" style="7" customWidth="1"/>
    <col min="2" max="18" width="8.77734375" style="7" customWidth="1"/>
    <col min="19" max="19" width="1.44140625" style="7" customWidth="1"/>
    <col min="20" max="16384" width="8.77734375" style="7" hidden="1"/>
  </cols>
  <sheetData>
    <row r="1" spans="2:18" ht="13.5" customHeight="1">
      <c r="B1" s="44"/>
      <c r="C1" s="44"/>
      <c r="D1" s="44"/>
      <c r="E1" s="44"/>
      <c r="F1" s="44"/>
      <c r="G1" s="44"/>
      <c r="H1" s="44"/>
      <c r="I1" s="44"/>
      <c r="J1" s="44"/>
      <c r="K1" s="44"/>
      <c r="L1" s="44"/>
      <c r="M1" s="44"/>
      <c r="N1" s="44"/>
      <c r="O1" s="44"/>
      <c r="P1" s="44"/>
      <c r="Q1" s="44"/>
      <c r="R1" s="44"/>
    </row>
    <row r="2" spans="2:18" ht="13.5" customHeight="1">
      <c r="B2" s="44"/>
      <c r="C2" s="44"/>
      <c r="D2" s="44"/>
      <c r="E2" s="44"/>
      <c r="F2" s="44"/>
      <c r="G2" s="44"/>
      <c r="H2" s="44"/>
      <c r="I2" s="44"/>
      <c r="J2" s="44"/>
      <c r="K2" s="44"/>
      <c r="L2" s="44"/>
      <c r="M2" s="44"/>
      <c r="N2" s="44"/>
      <c r="O2" s="44"/>
      <c r="P2" s="44"/>
      <c r="Q2" s="44"/>
      <c r="R2" s="44"/>
    </row>
    <row r="3" spans="2:18" ht="13.5" customHeight="1">
      <c r="B3" s="44"/>
      <c r="C3" s="44"/>
      <c r="D3" s="44"/>
      <c r="E3" s="44"/>
      <c r="F3" s="44"/>
      <c r="G3" s="44"/>
      <c r="H3" s="44"/>
      <c r="I3" s="44"/>
      <c r="J3" s="44"/>
      <c r="K3" s="44"/>
      <c r="L3" s="44"/>
      <c r="M3" s="44"/>
      <c r="N3" s="44"/>
      <c r="O3" s="44"/>
      <c r="P3" s="44"/>
      <c r="Q3" s="44"/>
      <c r="R3" s="44"/>
    </row>
    <row r="4" spans="2:18" ht="13.5" customHeight="1">
      <c r="B4" s="44"/>
      <c r="C4" s="44"/>
      <c r="D4" s="44"/>
      <c r="E4" s="44"/>
      <c r="F4" s="44"/>
      <c r="G4" s="44"/>
      <c r="H4" s="44"/>
      <c r="I4" s="44"/>
      <c r="J4" s="44"/>
      <c r="K4" s="44"/>
      <c r="L4" s="44"/>
      <c r="M4" s="44"/>
      <c r="N4" s="44"/>
      <c r="O4" s="44"/>
      <c r="P4" s="44"/>
      <c r="Q4" s="44"/>
      <c r="R4" s="44"/>
    </row>
    <row r="5" spans="2:18" ht="13.5" customHeight="1">
      <c r="B5" s="44"/>
      <c r="C5" s="44"/>
      <c r="D5" s="44"/>
      <c r="E5" s="44"/>
      <c r="F5" s="44"/>
      <c r="G5" s="44"/>
      <c r="H5" s="44"/>
      <c r="I5" s="44"/>
      <c r="J5" s="44"/>
      <c r="K5" s="44"/>
      <c r="L5" s="44"/>
      <c r="M5" s="44"/>
      <c r="N5" s="44"/>
      <c r="O5" s="44"/>
      <c r="P5" s="44"/>
      <c r="Q5" s="44"/>
      <c r="R5" s="44"/>
    </row>
    <row r="6" spans="2:18" ht="13.5" customHeight="1">
      <c r="B6" s="44"/>
      <c r="C6" s="44"/>
      <c r="D6" s="44"/>
      <c r="E6" s="44"/>
      <c r="F6" s="44"/>
      <c r="G6" s="44"/>
      <c r="H6" s="44"/>
      <c r="I6" s="44"/>
      <c r="J6" s="44"/>
      <c r="K6" s="44"/>
      <c r="L6" s="44"/>
      <c r="M6" s="44"/>
      <c r="N6" s="44"/>
      <c r="O6" s="44"/>
      <c r="P6" s="44"/>
      <c r="Q6" s="44"/>
      <c r="R6" s="44"/>
    </row>
    <row r="7" spans="2:18" ht="13.5" customHeight="1">
      <c r="B7" s="44"/>
      <c r="C7" s="44"/>
      <c r="D7" s="44"/>
      <c r="E7" s="44"/>
      <c r="F7" s="44"/>
      <c r="G7" s="44"/>
      <c r="H7" s="44"/>
      <c r="I7" s="44"/>
      <c r="J7" s="44"/>
      <c r="K7" s="44"/>
      <c r="L7" s="44"/>
      <c r="M7" s="44"/>
      <c r="N7" s="44"/>
      <c r="O7" s="44"/>
      <c r="P7" s="44"/>
      <c r="Q7" s="44"/>
      <c r="R7" s="44"/>
    </row>
    <row r="8" spans="2:18" ht="13.5" customHeight="1">
      <c r="B8" s="44"/>
      <c r="C8" s="44"/>
      <c r="D8" s="44"/>
      <c r="E8" s="44"/>
      <c r="F8" s="44"/>
      <c r="G8" s="44"/>
      <c r="H8" s="44"/>
      <c r="I8" s="44"/>
      <c r="J8" s="44"/>
      <c r="K8" s="44"/>
      <c r="L8" s="44"/>
      <c r="M8" s="44"/>
      <c r="N8" s="44"/>
      <c r="O8" s="44"/>
      <c r="P8" s="44"/>
      <c r="Q8" s="44"/>
      <c r="R8" s="44"/>
    </row>
    <row r="9" spans="2:18" ht="13.5" customHeight="1">
      <c r="B9" s="44"/>
      <c r="C9" s="44"/>
      <c r="D9" s="44"/>
      <c r="E9" s="44"/>
      <c r="F9" s="44"/>
      <c r="G9" s="44"/>
      <c r="H9" s="44"/>
      <c r="I9" s="44"/>
      <c r="J9" s="44"/>
      <c r="K9" s="44"/>
      <c r="L9" s="44"/>
      <c r="M9" s="44"/>
      <c r="N9" s="44"/>
      <c r="O9" s="44"/>
      <c r="P9" s="44"/>
      <c r="Q9" s="44"/>
      <c r="R9" s="44"/>
    </row>
    <row r="10" spans="2:18" ht="13.5" customHeight="1">
      <c r="B10" s="44"/>
      <c r="C10" s="44"/>
      <c r="D10" s="44"/>
      <c r="E10" s="44"/>
      <c r="F10" s="44"/>
      <c r="G10" s="44"/>
      <c r="H10" s="44"/>
      <c r="I10" s="44"/>
      <c r="J10" s="44"/>
      <c r="K10" s="44"/>
      <c r="L10" s="44"/>
      <c r="M10" s="44"/>
      <c r="N10" s="44"/>
      <c r="O10" s="44"/>
      <c r="P10" s="44"/>
      <c r="Q10" s="44"/>
      <c r="R10" s="44"/>
    </row>
    <row r="11" spans="2:18" ht="13.5" customHeight="1">
      <c r="B11" s="44"/>
      <c r="C11" s="44"/>
      <c r="D11" s="44"/>
      <c r="E11" s="44"/>
      <c r="F11" s="44"/>
      <c r="G11" s="44"/>
      <c r="H11" s="44"/>
      <c r="I11" s="44"/>
      <c r="J11" s="44"/>
      <c r="K11" s="44"/>
      <c r="L11" s="44"/>
      <c r="M11" s="44"/>
      <c r="N11" s="44"/>
      <c r="O11" s="44"/>
      <c r="P11" s="44"/>
      <c r="Q11" s="44"/>
      <c r="R11" s="44"/>
    </row>
    <row r="12" spans="2:18" ht="13.5" customHeight="1">
      <c r="B12" s="44"/>
      <c r="C12" s="44"/>
      <c r="D12" s="44"/>
      <c r="E12" s="44"/>
      <c r="F12" s="44"/>
      <c r="G12" s="44"/>
      <c r="H12" s="44"/>
      <c r="I12" s="44"/>
      <c r="J12" s="44"/>
      <c r="K12" s="44"/>
      <c r="L12" s="44"/>
      <c r="M12" s="44"/>
      <c r="N12" s="44"/>
      <c r="O12" s="44"/>
      <c r="P12" s="44"/>
      <c r="Q12" s="44"/>
      <c r="R12" s="44"/>
    </row>
    <row r="13" spans="2:18" ht="19.2">
      <c r="B13" s="44"/>
      <c r="C13" s="44"/>
      <c r="D13" s="44"/>
      <c r="E13" s="45"/>
      <c r="F13" s="44"/>
      <c r="G13" s="44"/>
      <c r="H13" s="44"/>
      <c r="I13" s="44"/>
      <c r="J13" s="44"/>
      <c r="K13" s="44"/>
      <c r="L13" s="44"/>
      <c r="M13" s="44"/>
      <c r="N13" s="44"/>
      <c r="O13" s="44"/>
      <c r="P13" s="44"/>
      <c r="Q13" s="44"/>
      <c r="R13" s="44"/>
    </row>
    <row r="14" spans="2:18" ht="13.5" customHeight="1">
      <c r="B14" s="44"/>
      <c r="C14" s="44"/>
      <c r="D14" s="44"/>
      <c r="E14" s="44"/>
      <c r="F14" s="44"/>
      <c r="G14" s="44"/>
      <c r="H14" s="44"/>
      <c r="I14" s="44"/>
      <c r="J14" s="44"/>
      <c r="K14" s="44"/>
      <c r="L14" s="44"/>
      <c r="M14" s="44"/>
      <c r="N14" s="44"/>
      <c r="O14" s="44"/>
      <c r="P14" s="44"/>
      <c r="Q14" s="44"/>
      <c r="R14" s="44"/>
    </row>
    <row r="15" spans="2:18" ht="13.5" customHeight="1">
      <c r="B15" s="44"/>
      <c r="C15" s="44"/>
      <c r="D15" s="44"/>
      <c r="E15" s="44"/>
      <c r="F15" s="44"/>
      <c r="G15" s="44"/>
      <c r="H15" s="44"/>
      <c r="I15" s="44"/>
      <c r="J15" s="44"/>
      <c r="K15" s="44"/>
      <c r="L15" s="44"/>
      <c r="M15" s="44"/>
      <c r="N15" s="44"/>
      <c r="O15" s="44"/>
      <c r="P15" s="44"/>
      <c r="Q15" s="44"/>
      <c r="R15" s="44"/>
    </row>
    <row r="16" spans="2:18" ht="13.5" customHeight="1">
      <c r="B16" s="44"/>
      <c r="C16" s="44"/>
      <c r="D16" s="44"/>
      <c r="E16" s="44"/>
      <c r="F16" s="44"/>
      <c r="G16" s="44"/>
      <c r="H16" s="44"/>
      <c r="I16" s="44"/>
      <c r="J16" s="44"/>
      <c r="K16" s="44"/>
      <c r="L16" s="44"/>
      <c r="M16" s="44"/>
      <c r="N16" s="44"/>
      <c r="O16" s="44"/>
      <c r="P16" s="44"/>
      <c r="Q16" s="44"/>
      <c r="R16" s="44"/>
    </row>
    <row r="17" spans="2:18" ht="13.5" customHeight="1">
      <c r="B17" s="44"/>
      <c r="C17" s="44"/>
      <c r="D17" s="44"/>
      <c r="E17" s="44"/>
      <c r="F17" s="44"/>
      <c r="G17" s="44"/>
      <c r="H17" s="44"/>
      <c r="I17" s="44"/>
      <c r="J17" s="44"/>
      <c r="K17" s="44"/>
      <c r="L17" s="44"/>
      <c r="M17" s="44"/>
      <c r="N17" s="44"/>
      <c r="O17" s="44"/>
      <c r="P17" s="44"/>
      <c r="Q17" s="44"/>
      <c r="R17" s="44"/>
    </row>
    <row r="18" spans="2:18" ht="13.5" customHeight="1">
      <c r="B18" s="44"/>
      <c r="C18" s="44"/>
      <c r="D18" s="44"/>
      <c r="E18" s="44"/>
      <c r="F18" s="44"/>
      <c r="G18" s="44"/>
      <c r="H18" s="44"/>
      <c r="I18" s="44"/>
      <c r="J18" s="44"/>
      <c r="K18" s="44"/>
      <c r="L18" s="44"/>
      <c r="M18" s="44"/>
      <c r="N18" s="44"/>
      <c r="O18" s="44"/>
      <c r="P18" s="44"/>
      <c r="Q18" s="44"/>
      <c r="R18" s="44"/>
    </row>
    <row r="19" spans="2:18" ht="13.5" customHeight="1">
      <c r="B19" s="44"/>
      <c r="C19" s="44"/>
      <c r="D19" s="44"/>
      <c r="E19" s="44"/>
      <c r="F19" s="44"/>
      <c r="G19" s="44"/>
      <c r="H19" s="44"/>
      <c r="I19" s="44"/>
      <c r="J19" s="44"/>
      <c r="K19" s="44"/>
      <c r="L19" s="44"/>
      <c r="M19" s="44"/>
      <c r="N19" s="44"/>
      <c r="O19" s="44"/>
      <c r="P19" s="44"/>
      <c r="Q19" s="44"/>
      <c r="R19" s="44"/>
    </row>
    <row r="20" spans="2:18" ht="13.5" customHeight="1">
      <c r="B20" s="44"/>
      <c r="C20" s="44"/>
      <c r="D20" s="44"/>
      <c r="E20" s="44"/>
      <c r="F20" s="44"/>
      <c r="G20" s="44"/>
      <c r="H20" s="44"/>
      <c r="I20" s="44"/>
      <c r="J20" s="44"/>
      <c r="K20" s="44"/>
      <c r="L20" s="44"/>
      <c r="M20" s="44"/>
      <c r="N20" s="44"/>
      <c r="O20" s="44"/>
      <c r="P20" s="44"/>
      <c r="Q20" s="44"/>
      <c r="R20" s="44"/>
    </row>
    <row r="21" spans="2:18" ht="13.5" customHeight="1">
      <c r="B21" s="44"/>
      <c r="C21" s="44"/>
      <c r="D21" s="44"/>
      <c r="E21" s="44"/>
      <c r="F21" s="44"/>
      <c r="G21" s="44"/>
      <c r="H21" s="44"/>
      <c r="I21" s="44"/>
      <c r="J21" s="44"/>
      <c r="K21" s="44"/>
      <c r="L21" s="44"/>
      <c r="M21" s="44"/>
      <c r="N21" s="44"/>
      <c r="O21" s="44"/>
      <c r="P21" s="44"/>
      <c r="Q21" s="44"/>
      <c r="R21" s="44"/>
    </row>
    <row r="22" spans="2:18" ht="13.5" customHeight="1">
      <c r="B22" s="44"/>
      <c r="C22" s="44"/>
      <c r="D22" s="44"/>
      <c r="E22" s="44"/>
      <c r="F22" s="44"/>
      <c r="G22" s="44"/>
      <c r="H22" s="44"/>
      <c r="I22" s="44"/>
      <c r="J22" s="44"/>
      <c r="K22" s="44"/>
      <c r="L22" s="44"/>
      <c r="M22" s="44"/>
      <c r="N22" s="44"/>
      <c r="O22" s="44"/>
      <c r="P22" s="44"/>
      <c r="Q22" s="44"/>
      <c r="R22" s="44"/>
    </row>
    <row r="23" spans="2:18" ht="13.5" customHeight="1">
      <c r="B23" s="44"/>
      <c r="C23" s="44"/>
      <c r="D23" s="44"/>
      <c r="E23" s="44"/>
      <c r="F23" s="44"/>
      <c r="G23" s="44"/>
      <c r="H23" s="44"/>
      <c r="I23" s="44"/>
      <c r="J23" s="44"/>
      <c r="K23" s="44"/>
      <c r="L23" s="44"/>
      <c r="M23" s="44"/>
      <c r="N23" s="44"/>
      <c r="O23" s="44"/>
      <c r="P23" s="44"/>
      <c r="Q23" s="44"/>
      <c r="R23" s="44"/>
    </row>
    <row r="24" spans="2:18" ht="13.5" customHeight="1">
      <c r="B24" s="44"/>
      <c r="C24" s="44"/>
      <c r="D24" s="44"/>
      <c r="E24" s="44"/>
      <c r="F24" s="44"/>
      <c r="G24" s="44"/>
      <c r="H24" s="44"/>
      <c r="I24" s="44"/>
      <c r="J24" s="44"/>
      <c r="K24" s="44"/>
      <c r="L24" s="44"/>
      <c r="M24" s="44"/>
      <c r="N24" s="44"/>
      <c r="O24" s="44"/>
      <c r="P24" s="44"/>
      <c r="Q24" s="44"/>
      <c r="R24" s="44"/>
    </row>
    <row r="25" spans="2:18" ht="13.5" customHeight="1">
      <c r="B25" s="44"/>
      <c r="C25" s="44"/>
      <c r="D25" s="44"/>
      <c r="E25" s="44"/>
      <c r="F25" s="44"/>
      <c r="G25" s="44"/>
      <c r="H25" s="44"/>
      <c r="I25" s="44"/>
      <c r="J25" s="44"/>
      <c r="K25" s="44"/>
      <c r="L25" s="44"/>
      <c r="M25" s="44"/>
      <c r="N25" s="44"/>
      <c r="O25" s="44"/>
      <c r="P25" s="44"/>
      <c r="Q25" s="44"/>
      <c r="R25" s="44"/>
    </row>
    <row r="26" spans="2:18" ht="13.5" customHeight="1">
      <c r="B26" s="44"/>
      <c r="C26" s="44"/>
      <c r="D26" s="44"/>
      <c r="E26" s="44"/>
      <c r="F26" s="44"/>
      <c r="G26" s="44"/>
      <c r="H26" s="44"/>
      <c r="I26" s="44"/>
      <c r="J26" s="44"/>
      <c r="K26" s="44"/>
      <c r="L26" s="44"/>
      <c r="M26" s="44"/>
      <c r="N26" s="44"/>
      <c r="O26" s="44"/>
      <c r="P26" s="44"/>
      <c r="Q26" s="44"/>
      <c r="R26" s="44"/>
    </row>
    <row r="27" spans="2:18" ht="13.5" customHeight="1">
      <c r="B27" s="44"/>
      <c r="C27" s="44"/>
      <c r="D27" s="44"/>
      <c r="E27" s="44"/>
      <c r="F27" s="44"/>
      <c r="G27" s="44"/>
      <c r="H27" s="44"/>
      <c r="I27" s="44"/>
      <c r="J27" s="44"/>
      <c r="K27" s="44"/>
      <c r="L27" s="44"/>
      <c r="M27" s="44"/>
      <c r="N27" s="44"/>
      <c r="O27" s="44"/>
      <c r="P27" s="44"/>
      <c r="Q27" s="44"/>
      <c r="R27" s="44"/>
    </row>
    <row r="28" spans="2:18" ht="13.5" customHeight="1">
      <c r="B28" s="44"/>
      <c r="C28" s="44"/>
      <c r="D28" s="44"/>
      <c r="E28" s="44"/>
      <c r="F28" s="44"/>
      <c r="G28" s="44"/>
      <c r="H28" s="44"/>
      <c r="I28" s="44"/>
      <c r="J28" s="44"/>
      <c r="K28" s="44"/>
      <c r="L28" s="44"/>
      <c r="M28" s="44"/>
      <c r="N28" s="44"/>
      <c r="O28" s="44"/>
      <c r="P28" s="44"/>
      <c r="Q28" s="44"/>
      <c r="R28" s="44"/>
    </row>
    <row r="29" spans="2:18" ht="13.5" customHeight="1">
      <c r="B29" s="44"/>
      <c r="C29" s="44"/>
      <c r="D29" s="44"/>
      <c r="E29" s="44"/>
      <c r="F29" s="44"/>
      <c r="G29" s="44"/>
      <c r="H29" s="44"/>
      <c r="I29" s="44"/>
      <c r="J29" s="44"/>
      <c r="K29" s="44"/>
      <c r="L29" s="44"/>
      <c r="M29" s="44"/>
      <c r="N29" s="44"/>
      <c r="O29" s="44"/>
      <c r="P29" s="44"/>
      <c r="Q29" s="44"/>
      <c r="R29" s="44"/>
    </row>
    <row r="30" spans="2:18" ht="13.5" customHeight="1">
      <c r="B30" s="44"/>
      <c r="C30" s="44"/>
      <c r="D30" s="44"/>
      <c r="E30" s="44"/>
      <c r="F30" s="44"/>
      <c r="G30" s="44"/>
      <c r="H30" s="44"/>
      <c r="I30" s="44"/>
      <c r="J30" s="44"/>
      <c r="K30" s="44"/>
      <c r="L30" s="44"/>
      <c r="M30" s="44"/>
      <c r="N30" s="44"/>
      <c r="O30" s="44"/>
      <c r="P30" s="44"/>
      <c r="Q30" s="44"/>
      <c r="R30" s="44"/>
    </row>
    <row r="31" spans="2:18" ht="13.5" customHeight="1">
      <c r="B31" s="44"/>
      <c r="C31" s="44"/>
      <c r="D31" s="44"/>
      <c r="E31" s="44"/>
      <c r="F31" s="44"/>
      <c r="G31" s="44"/>
      <c r="H31" s="44"/>
      <c r="I31" s="44"/>
      <c r="J31" s="44"/>
      <c r="K31" s="44"/>
      <c r="L31" s="44"/>
      <c r="M31" s="44"/>
      <c r="N31" s="44"/>
      <c r="O31" s="44"/>
      <c r="P31" s="44"/>
      <c r="Q31" s="44"/>
      <c r="R31" s="44"/>
    </row>
    <row r="32" spans="2:18" ht="13.5" customHeight="1">
      <c r="B32" s="44"/>
      <c r="C32" s="44"/>
      <c r="D32" s="44"/>
      <c r="E32" s="44"/>
      <c r="F32" s="44"/>
      <c r="G32" s="44"/>
      <c r="H32" s="44"/>
      <c r="I32" s="44"/>
      <c r="J32" s="44"/>
      <c r="K32" s="44"/>
      <c r="L32" s="44"/>
      <c r="M32" s="44"/>
      <c r="N32" s="44"/>
      <c r="O32" s="44"/>
      <c r="P32" s="44"/>
      <c r="Q32" s="44"/>
      <c r="R32" s="44"/>
    </row>
    <row r="33" spans="2:18" ht="13.5" customHeight="1">
      <c r="B33" s="44"/>
      <c r="C33" s="44"/>
      <c r="D33" s="44"/>
      <c r="E33" s="44"/>
      <c r="F33" s="44"/>
      <c r="G33" s="44"/>
      <c r="H33" s="44"/>
      <c r="I33" s="44"/>
      <c r="J33" s="44"/>
      <c r="K33" s="44"/>
      <c r="L33" s="44"/>
      <c r="M33" s="44"/>
      <c r="N33" s="44"/>
      <c r="O33" s="44"/>
      <c r="P33" s="44"/>
      <c r="Q33" s="44"/>
      <c r="R33" s="44"/>
    </row>
    <row r="34" spans="2:18" ht="13.5" customHeight="1">
      <c r="B34" s="44"/>
      <c r="C34" s="44"/>
      <c r="D34" s="44"/>
      <c r="E34" s="44"/>
      <c r="F34" s="44"/>
      <c r="G34" s="44"/>
      <c r="H34" s="44"/>
      <c r="I34" s="44"/>
      <c r="J34" s="44"/>
      <c r="K34" s="44"/>
      <c r="L34" s="44"/>
      <c r="M34" s="44"/>
      <c r="N34" s="44"/>
      <c r="O34" s="44"/>
      <c r="P34" s="44"/>
      <c r="Q34" s="44"/>
      <c r="R34" s="44"/>
    </row>
    <row r="35" spans="2:18" ht="13.5" customHeight="1">
      <c r="B35" s="44"/>
      <c r="C35" s="44"/>
      <c r="D35" s="44"/>
      <c r="E35" s="44"/>
      <c r="F35" s="44"/>
      <c r="G35" s="44"/>
      <c r="H35" s="44"/>
      <c r="I35" s="44"/>
      <c r="J35" s="44"/>
      <c r="K35" s="44"/>
      <c r="L35" s="44"/>
      <c r="M35" s="44"/>
      <c r="N35" s="44"/>
      <c r="O35" s="44"/>
      <c r="P35" s="44"/>
      <c r="Q35" s="44"/>
      <c r="R35" s="44"/>
    </row>
    <row r="36" spans="2:18" ht="13.5" customHeight="1">
      <c r="B36" s="44"/>
      <c r="C36" s="44"/>
      <c r="D36" s="44"/>
      <c r="E36" s="44"/>
      <c r="F36" s="44"/>
      <c r="G36" s="44"/>
      <c r="H36" s="44"/>
      <c r="I36" s="44"/>
      <c r="J36" s="44"/>
      <c r="K36" s="44"/>
      <c r="L36" s="44"/>
      <c r="M36" s="44"/>
      <c r="N36" s="44"/>
      <c r="O36" s="44"/>
      <c r="P36" s="44"/>
      <c r="Q36" s="44"/>
      <c r="R36" s="44"/>
    </row>
    <row r="37" spans="2:18" ht="13.5" customHeight="1">
      <c r="G37" s="44"/>
      <c r="H37" s="44"/>
      <c r="I37" s="44"/>
      <c r="J37" s="44"/>
      <c r="K37" s="44"/>
      <c r="L37" s="44"/>
      <c r="M37" s="44"/>
      <c r="N37" s="44"/>
      <c r="O37" s="44"/>
      <c r="P37" s="44"/>
      <c r="Q37" s="44"/>
      <c r="R37" s="44"/>
    </row>
    <row r="38" spans="2:18" ht="13.5" hidden="1" customHeight="1">
      <c r="J38" s="44"/>
      <c r="K38" s="44"/>
      <c r="L38" s="44"/>
      <c r="M38" s="44"/>
      <c r="N38" s="44"/>
      <c r="O38" s="44"/>
      <c r="P38" s="44"/>
      <c r="Q38" s="44"/>
      <c r="R38" s="44"/>
    </row>
  </sheetData>
  <phoneticPr fontId="4"/>
  <printOptions horizontalCentered="1"/>
  <pageMargins left="0.59055118110236227" right="0.78740157480314965" top="0.78740157480314965" bottom="0.78740157480314965" header="0.51181102362204722" footer="0.51181102362204722"/>
  <pageSetup paperSize="9" scale="59" orientation="portrait" horizontalDpi="4294967293" verticalDpi="4294967293" r:id="rId1"/>
  <headerFooter alignWithMargins="0">
    <oddHeader>&amp;L&amp;F&amp;R&amp;A</oddHeader>
    <oddFooter>&amp;C&amp;P/&amp;N</oddFooter>
  </headerFooter>
  <rowBreaks count="1" manualBreakCount="1">
    <brk id="37" max="1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1:I40"/>
  <sheetViews>
    <sheetView showGridLines="0" zoomScaleNormal="80" workbookViewId="0"/>
  </sheetViews>
  <sheetFormatPr defaultColWidth="0" defaultRowHeight="13.2" zeroHeight="1"/>
  <cols>
    <col min="1" max="1" width="2" customWidth="1"/>
    <col min="2" max="2" width="10.6640625" customWidth="1"/>
    <col min="3" max="3" width="11.88671875" customWidth="1"/>
    <col min="4" max="4" width="8.21875" customWidth="1"/>
    <col min="5" max="5" width="22.6640625" customWidth="1"/>
    <col min="6" max="6" width="9.44140625" customWidth="1"/>
    <col min="7" max="7" width="22.6640625" customWidth="1"/>
    <col min="8" max="8" width="9.44140625" customWidth="1"/>
    <col min="9" max="9" width="16.109375" customWidth="1"/>
    <col min="10" max="10" width="1.88671875" customWidth="1"/>
  </cols>
  <sheetData>
    <row r="1" spans="2:9" ht="6" customHeight="1"/>
    <row r="2" spans="2:9" ht="14.4">
      <c r="B2" s="1135" t="str">
        <f>"■"&amp;メイン!H37&amp;"結果の入力シート"</f>
        <v>■戸建独自計算結果の入力シート</v>
      </c>
      <c r="C2" s="1136"/>
      <c r="D2" s="1136"/>
      <c r="E2" s="1136"/>
      <c r="F2" s="1136"/>
      <c r="G2" s="861" t="s">
        <v>362</v>
      </c>
      <c r="H2" s="2095" t="str">
        <f>IF(メイン!$C$10="","",メイン!$C$10)</f>
        <v>あおもりGX</v>
      </c>
      <c r="I2" s="2096"/>
    </row>
    <row r="3" spans="2:9" ht="15.75" customHeight="1">
      <c r="I3" s="827"/>
    </row>
    <row r="4" spans="2:9">
      <c r="B4" s="3233" t="s">
        <v>494</v>
      </c>
      <c r="C4" s="3234"/>
      <c r="D4" s="3235"/>
      <c r="E4" s="3239" t="s">
        <v>837</v>
      </c>
      <c r="F4" s="3240"/>
      <c r="G4" s="3222" t="s">
        <v>420</v>
      </c>
      <c r="H4" s="3223"/>
      <c r="I4" s="1137" t="s">
        <v>571</v>
      </c>
    </row>
    <row r="5" spans="2:9" ht="13.8" thickBot="1">
      <c r="B5" s="3236"/>
      <c r="C5" s="3237"/>
      <c r="D5" s="3238"/>
      <c r="E5" s="1138" t="s">
        <v>272</v>
      </c>
      <c r="F5" s="1138" t="s">
        <v>273</v>
      </c>
      <c r="G5" s="1138" t="s">
        <v>272</v>
      </c>
      <c r="H5" s="1138" t="s">
        <v>273</v>
      </c>
      <c r="I5" s="1137"/>
    </row>
    <row r="6" spans="2:9" ht="19.5" customHeight="1" thickBot="1">
      <c r="B6" s="1139" t="s">
        <v>271</v>
      </c>
      <c r="C6" s="3224" t="s">
        <v>699</v>
      </c>
      <c r="D6" s="3225"/>
      <c r="E6" s="1140"/>
      <c r="F6" s="1141">
        <f>CO2計算!P89</f>
        <v>9.52</v>
      </c>
      <c r="G6" s="1140"/>
      <c r="H6" s="1142">
        <f>CO2計算!M89</f>
        <v>2.7896000000000001</v>
      </c>
      <c r="I6" s="1143" t="s">
        <v>838</v>
      </c>
    </row>
    <row r="7" spans="2:9" ht="57" customHeight="1" thickBot="1">
      <c r="B7" s="1139"/>
      <c r="C7" s="3226" t="s">
        <v>275</v>
      </c>
      <c r="D7" s="3227"/>
      <c r="E7" s="3212"/>
      <c r="F7" s="3212"/>
      <c r="G7" s="3212"/>
      <c r="H7" s="3212"/>
      <c r="I7" s="1143"/>
    </row>
    <row r="8" spans="2:9" ht="24.6" thickBot="1">
      <c r="B8" s="1138" t="s">
        <v>432</v>
      </c>
      <c r="C8" s="3226" t="s">
        <v>699</v>
      </c>
      <c r="D8" s="3230"/>
      <c r="E8" s="1140"/>
      <c r="F8" s="1144">
        <f>CO2計算!P90</f>
        <v>2.83</v>
      </c>
      <c r="G8" s="1140"/>
      <c r="H8" s="1145">
        <f>CO2計算!M90</f>
        <v>4.75</v>
      </c>
      <c r="I8" s="1143" t="s">
        <v>838</v>
      </c>
    </row>
    <row r="9" spans="2:9" ht="57" customHeight="1" thickBot="1">
      <c r="B9" s="1139"/>
      <c r="C9" s="3226" t="s">
        <v>275</v>
      </c>
      <c r="D9" s="3227"/>
      <c r="E9" s="3212"/>
      <c r="F9" s="3212"/>
      <c r="G9" s="3212"/>
      <c r="H9" s="3212"/>
      <c r="I9" s="1143"/>
    </row>
    <row r="10" spans="2:9" ht="36.75" customHeight="1" thickBot="1">
      <c r="B10" s="3228" t="s">
        <v>839</v>
      </c>
      <c r="C10" s="3226" t="s">
        <v>433</v>
      </c>
      <c r="D10" s="3230"/>
      <c r="E10" s="1146"/>
      <c r="F10" s="1144">
        <f>CO2計算!P55</f>
        <v>38.802961218453483</v>
      </c>
      <c r="G10" s="1147"/>
      <c r="H10" s="1142">
        <f>CO2計算!M55</f>
        <v>29.86964678777413</v>
      </c>
      <c r="I10" s="1143" t="s">
        <v>838</v>
      </c>
    </row>
    <row r="11" spans="2:9" ht="36.75" customHeight="1" thickBot="1">
      <c r="B11" s="3229"/>
      <c r="C11" s="3231" t="s">
        <v>434</v>
      </c>
      <c r="D11" s="3232"/>
      <c r="E11" s="1148" t="s">
        <v>435</v>
      </c>
      <c r="F11" s="1149"/>
      <c r="G11" s="1150"/>
      <c r="H11" s="1151">
        <f>CO2計算!M78</f>
        <v>29.86964678777413</v>
      </c>
      <c r="I11" s="1152" t="s">
        <v>838</v>
      </c>
    </row>
    <row r="12" spans="2:9" ht="18.75" customHeight="1">
      <c r="B12" s="3229"/>
      <c r="C12" s="1153"/>
      <c r="D12" s="1154" t="s">
        <v>575</v>
      </c>
      <c r="E12" s="2453" t="s">
        <v>1842</v>
      </c>
      <c r="F12" s="1155"/>
      <c r="G12" s="1156"/>
      <c r="H12" s="1157">
        <f>IFERROR(H10-H11,"")</f>
        <v>0</v>
      </c>
      <c r="I12" s="1158" t="s">
        <v>838</v>
      </c>
    </row>
    <row r="13" spans="2:9" ht="18.75" customHeight="1">
      <c r="B13" s="3229"/>
      <c r="C13" s="1159"/>
      <c r="D13" s="1160"/>
      <c r="E13" s="1161"/>
      <c r="F13" s="1162"/>
      <c r="G13" s="1163"/>
      <c r="H13" s="1157">
        <v>0</v>
      </c>
      <c r="I13" s="1158" t="s">
        <v>838</v>
      </c>
    </row>
    <row r="14" spans="2:9" ht="18.75" customHeight="1" thickBot="1">
      <c r="B14" s="3229"/>
      <c r="C14" s="1159"/>
      <c r="D14" s="1164"/>
      <c r="E14" s="1165"/>
      <c r="F14" s="1166"/>
      <c r="G14" s="1167"/>
      <c r="H14" s="1168">
        <v>0</v>
      </c>
      <c r="I14" s="1169" t="s">
        <v>838</v>
      </c>
    </row>
    <row r="15" spans="2:9" ht="24.75" customHeight="1" thickBot="1">
      <c r="B15" s="3229"/>
      <c r="C15" s="3231" t="s">
        <v>436</v>
      </c>
      <c r="D15" s="3232"/>
      <c r="E15" s="1148" t="s">
        <v>435</v>
      </c>
      <c r="F15" s="1149"/>
      <c r="G15" s="1150"/>
      <c r="H15" s="1170">
        <f>IFERROR(H11-SUM(H16:H19),"")</f>
        <v>29.31502317855125</v>
      </c>
      <c r="I15" s="1152" t="s">
        <v>838</v>
      </c>
    </row>
    <row r="16" spans="2:9" ht="25.5" customHeight="1">
      <c r="B16" s="3229"/>
      <c r="C16" s="1171"/>
      <c r="D16" s="1154" t="s">
        <v>575</v>
      </c>
      <c r="E16" s="1172" t="s">
        <v>280</v>
      </c>
      <c r="F16" s="1173"/>
      <c r="G16" s="1174"/>
      <c r="H16" s="1175" t="s">
        <v>820</v>
      </c>
      <c r="I16" s="1158" t="s">
        <v>838</v>
      </c>
    </row>
    <row r="17" spans="2:9" ht="25.5" customHeight="1">
      <c r="B17" s="3229"/>
      <c r="C17" s="1176"/>
      <c r="D17" s="1177"/>
      <c r="E17" s="1178" t="s">
        <v>437</v>
      </c>
      <c r="F17" s="1178"/>
      <c r="G17" s="1179"/>
      <c r="H17" s="1175" t="s">
        <v>438</v>
      </c>
      <c r="I17" s="1180" t="s">
        <v>838</v>
      </c>
    </row>
    <row r="18" spans="2:9" ht="25.5" customHeight="1">
      <c r="B18" s="3229"/>
      <c r="C18" s="1176"/>
      <c r="D18" s="1177"/>
      <c r="E18" s="1178" t="s">
        <v>439</v>
      </c>
      <c r="F18" s="1178"/>
      <c r="G18" s="1179"/>
      <c r="H18" s="1175" t="s">
        <v>438</v>
      </c>
      <c r="I18" s="1180" t="s">
        <v>838</v>
      </c>
    </row>
    <row r="19" spans="2:9" ht="39" customHeight="1">
      <c r="B19" s="3229"/>
      <c r="C19" s="1181"/>
      <c r="D19" s="1182"/>
      <c r="E19" s="1183" t="s">
        <v>440</v>
      </c>
      <c r="F19" s="1183"/>
      <c r="G19" s="1184"/>
      <c r="H19" s="1185">
        <f>IFERROR(H35,"")</f>
        <v>0.55462360922288134</v>
      </c>
      <c r="I19" s="1186" t="s">
        <v>838</v>
      </c>
    </row>
    <row r="20" spans="2:9" ht="67.5" customHeight="1">
      <c r="B20" s="3220"/>
      <c r="C20" s="3226" t="s">
        <v>275</v>
      </c>
      <c r="D20" s="3227"/>
      <c r="E20" s="3212"/>
      <c r="F20" s="3212"/>
      <c r="G20" s="3212"/>
      <c r="H20" s="3212"/>
      <c r="I20" s="1137"/>
    </row>
    <row r="21" spans="2:9"/>
    <row r="22" spans="2:9" ht="23.25" customHeight="1" thickBot="1">
      <c r="B22" s="8" t="s">
        <v>278</v>
      </c>
    </row>
    <row r="23" spans="2:9" ht="17.25" customHeight="1" thickBot="1">
      <c r="B23" s="1187"/>
      <c r="C23" s="8" t="s">
        <v>279</v>
      </c>
    </row>
    <row r="24" spans="2:9" ht="17.25" customHeight="1">
      <c r="B24" s="8" t="str">
        <f>"上表における「参考値」は、「"&amp;メイン!H36&amp;"」をベースとした計算結果である。"</f>
        <v>上表における「参考値」は、「戸建標準計算」をベースとした計算結果である。</v>
      </c>
    </row>
    <row r="25" spans="2:9" ht="17.25" customHeight="1">
      <c r="B25" s="8" t="s">
        <v>1632</v>
      </c>
    </row>
    <row r="26" spans="2:9"/>
    <row r="27" spans="2:9">
      <c r="B27" s="8"/>
      <c r="C27" s="8" t="s">
        <v>441</v>
      </c>
      <c r="D27" s="8"/>
      <c r="E27" s="8"/>
      <c r="F27" s="8"/>
      <c r="G27" s="8"/>
      <c r="H27" s="8"/>
      <c r="I27" s="8"/>
    </row>
    <row r="28" spans="2:9" ht="27.6">
      <c r="B28" s="1188"/>
      <c r="C28" s="3213" t="s">
        <v>1633</v>
      </c>
      <c r="D28" s="3214"/>
      <c r="E28" s="1189">
        <f>IFERROR(電気排出係数!D5*1000,"")</f>
        <v>0.47699999999999998</v>
      </c>
      <c r="F28" s="1190" t="s">
        <v>442</v>
      </c>
      <c r="G28" s="8"/>
      <c r="H28" s="8"/>
      <c r="I28" s="8"/>
    </row>
    <row r="29" spans="2:9" ht="27.6">
      <c r="B29" s="1188"/>
      <c r="C29" s="3215" t="s">
        <v>836</v>
      </c>
      <c r="D29" s="3216"/>
      <c r="E29" s="1191">
        <f>IFERROR(電気排出係数!E5*1000,"")</f>
        <v>0.46</v>
      </c>
      <c r="F29" s="1169" t="s">
        <v>443</v>
      </c>
      <c r="G29" s="8"/>
      <c r="H29" s="8"/>
      <c r="I29" s="8"/>
    </row>
    <row r="30" spans="2:9">
      <c r="B30" s="1188"/>
      <c r="C30" s="8"/>
      <c r="D30" s="8"/>
      <c r="E30" s="8"/>
      <c r="F30" s="8"/>
      <c r="G30" s="8"/>
      <c r="H30" s="8"/>
      <c r="I30" s="8"/>
    </row>
    <row r="31" spans="2:9">
      <c r="B31" s="1188"/>
      <c r="C31" s="8" t="s">
        <v>934</v>
      </c>
      <c r="D31" s="8"/>
      <c r="E31" s="8"/>
      <c r="F31" s="8"/>
      <c r="G31" s="8"/>
      <c r="H31" s="8"/>
      <c r="I31" s="8"/>
    </row>
    <row r="32" spans="2:9" ht="13.5" customHeight="1">
      <c r="B32" s="1188"/>
      <c r="C32" s="3217" t="s">
        <v>1634</v>
      </c>
      <c r="D32" s="3218"/>
      <c r="E32" s="3218"/>
      <c r="F32" s="3219"/>
      <c r="G32" s="1391" t="s">
        <v>936</v>
      </c>
      <c r="H32" s="1192">
        <f>IFERROR(H11,"")</f>
        <v>29.86964678777413</v>
      </c>
      <c r="I32" s="1143" t="s">
        <v>838</v>
      </c>
    </row>
    <row r="33" spans="2:9" ht="15.6">
      <c r="B33" s="1188"/>
      <c r="C33" s="1392"/>
      <c r="D33" s="1393"/>
      <c r="E33" s="1393"/>
      <c r="F33" s="1182"/>
      <c r="G33" s="1391" t="s">
        <v>935</v>
      </c>
      <c r="H33" s="1192">
        <f>IFERROR(H32*CO2データ!J228,"")</f>
        <v>15.562085976430323</v>
      </c>
      <c r="I33" s="1143" t="s">
        <v>838</v>
      </c>
    </row>
    <row r="34" spans="2:9" ht="13.5" customHeight="1">
      <c r="B34" s="1188"/>
      <c r="C34" s="3220" t="s">
        <v>282</v>
      </c>
      <c r="D34" s="3220"/>
      <c r="E34" s="3220"/>
      <c r="F34" s="3220"/>
      <c r="G34" s="1193" t="str">
        <f>IFERROR(ROUND(H33,2)&amp;" / "&amp;$E$28&amp;" * "&amp;$E$29&amp;" =　（B)","(B)")</f>
        <v>15.56 / 0.477 * 0.46 =　（B)</v>
      </c>
      <c r="H34" s="1192">
        <f>IFERROR(H33/$E$28*$E$29,"")</f>
        <v>15.007462367207442</v>
      </c>
      <c r="I34" s="1143" t="s">
        <v>838</v>
      </c>
    </row>
    <row r="35" spans="2:9" ht="13.5" customHeight="1">
      <c r="B35" s="1188"/>
      <c r="C35" s="3221" t="s">
        <v>1635</v>
      </c>
      <c r="D35" s="3221"/>
      <c r="E35" s="3221"/>
      <c r="F35" s="3221"/>
      <c r="G35" s="1193" t="s">
        <v>920</v>
      </c>
      <c r="H35" s="1192">
        <f>IFERROR(H33-H34,"")</f>
        <v>0.55462360922288134</v>
      </c>
      <c r="I35" s="1143" t="s">
        <v>838</v>
      </c>
    </row>
    <row r="36" spans="2:9">
      <c r="B36" s="1188"/>
      <c r="C36" s="8"/>
      <c r="D36" s="8"/>
      <c r="E36" s="8"/>
      <c r="F36" s="8"/>
      <c r="G36" s="8"/>
      <c r="H36" s="8"/>
      <c r="I36" s="8"/>
    </row>
    <row r="37" spans="2:9" hidden="1">
      <c r="B37" s="1188"/>
      <c r="C37" s="1386" t="s">
        <v>284</v>
      </c>
      <c r="D37" s="1386"/>
      <c r="E37" s="1386"/>
      <c r="F37" s="1386"/>
      <c r="G37" s="1386"/>
      <c r="H37" s="1386"/>
      <c r="I37" s="1386"/>
    </row>
    <row r="38" spans="2:9" ht="15.6" hidden="1">
      <c r="B38" s="1188"/>
      <c r="C38" s="3210" t="s">
        <v>281</v>
      </c>
      <c r="D38" s="3210"/>
      <c r="E38" s="3210"/>
      <c r="F38" s="3210"/>
      <c r="G38" s="1387" t="s">
        <v>283</v>
      </c>
      <c r="H38" s="1388">
        <f>G11</f>
        <v>0</v>
      </c>
      <c r="I38" s="1389" t="s">
        <v>838</v>
      </c>
    </row>
    <row r="39" spans="2:9" ht="15.6" hidden="1">
      <c r="B39" s="1188"/>
      <c r="C39" s="3210" t="s">
        <v>282</v>
      </c>
      <c r="D39" s="3210"/>
      <c r="E39" s="3210"/>
      <c r="F39" s="3210"/>
      <c r="G39" s="1390" t="str">
        <f>ROUND(H38,2)&amp;" / "&amp;$E$28&amp;" * "&amp;$E$29&amp;" =　（D)"</f>
        <v>0 / 0.477 * 0.46 =　（D)</v>
      </c>
      <c r="H39" s="1388">
        <f>G11/$E$28*$E$29</f>
        <v>0</v>
      </c>
      <c r="I39" s="1389" t="s">
        <v>838</v>
      </c>
    </row>
    <row r="40" spans="2:9" ht="15.6" hidden="1">
      <c r="B40" s="1188"/>
      <c r="C40" s="3211" t="s">
        <v>276</v>
      </c>
      <c r="D40" s="3211"/>
      <c r="E40" s="3211"/>
      <c r="F40" s="3211"/>
      <c r="G40" s="1390" t="s">
        <v>444</v>
      </c>
      <c r="H40" s="1388">
        <f>H38-H39</f>
        <v>0</v>
      </c>
      <c r="I40" s="1389" t="s">
        <v>838</v>
      </c>
    </row>
  </sheetData>
  <sheetProtection algorithmName="SHA-512" hashValue="Rv6Jekb+siNOEOaUhNyZxkQ4rUNG8+eHIfBwoc1y4NoAml4ZyaPPQZTKnZ3dLc/371EMd7k7oV43akiCNwNuug==" saltValue="Bliy5IauXzZ+o2jTDXJhGA==" spinCount="100000" sheet="1" objects="1" scenarios="1"/>
  <mergeCells count="26">
    <mergeCell ref="G4:H4"/>
    <mergeCell ref="C6:D6"/>
    <mergeCell ref="C7:D7"/>
    <mergeCell ref="B10:B20"/>
    <mergeCell ref="C10:D10"/>
    <mergeCell ref="C11:D11"/>
    <mergeCell ref="C15:D15"/>
    <mergeCell ref="C20:D20"/>
    <mergeCell ref="G7:H7"/>
    <mergeCell ref="G9:H9"/>
    <mergeCell ref="B4:D5"/>
    <mergeCell ref="E4:F4"/>
    <mergeCell ref="C8:D8"/>
    <mergeCell ref="C9:D9"/>
    <mergeCell ref="E7:F7"/>
    <mergeCell ref="E9:F9"/>
    <mergeCell ref="C38:F38"/>
    <mergeCell ref="C39:F39"/>
    <mergeCell ref="C40:F40"/>
    <mergeCell ref="G20:H20"/>
    <mergeCell ref="C28:D28"/>
    <mergeCell ref="C29:D29"/>
    <mergeCell ref="C32:F32"/>
    <mergeCell ref="C34:F34"/>
    <mergeCell ref="C35:F35"/>
    <mergeCell ref="E20:F20"/>
  </mergeCells>
  <phoneticPr fontId="4"/>
  <printOptions horizontalCentered="1"/>
  <pageMargins left="0.59055118110236227" right="0.59055118110236227" top="0.78740157480314965" bottom="0.59055118110236227" header="0.51181102362204722" footer="0.51181102362204722"/>
  <pageSetup paperSize="9" scale="81" orientation="portrait" verticalDpi="300" r:id="rId1"/>
  <headerFooter alignWithMargins="0">
    <oddHeader>&amp;L&amp;F&amp;R&amp;A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S38"/>
  <sheetViews>
    <sheetView showGridLines="0" workbookViewId="0">
      <selection activeCell="S13" sqref="S13"/>
    </sheetView>
  </sheetViews>
  <sheetFormatPr defaultColWidth="0" defaultRowHeight="13.5" customHeight="1" zeroHeight="1"/>
  <cols>
    <col min="1" max="1" width="1.109375" style="7" customWidth="1"/>
    <col min="2" max="18" width="8.77734375" style="7" customWidth="1"/>
    <col min="19" max="19" width="1.44140625" style="7" customWidth="1"/>
    <col min="20" max="16384" width="8.77734375" style="7" hidden="1"/>
  </cols>
  <sheetData>
    <row r="1" spans="2:18" ht="13.5" customHeight="1">
      <c r="B1" s="44"/>
      <c r="C1" s="44"/>
      <c r="D1" s="44"/>
      <c r="E1" s="44"/>
      <c r="F1" s="44"/>
      <c r="G1" s="44"/>
      <c r="H1" s="44"/>
      <c r="I1" s="44"/>
      <c r="J1" s="44"/>
      <c r="K1" s="44"/>
      <c r="L1" s="44"/>
      <c r="M1" s="44"/>
      <c r="N1" s="44"/>
      <c r="O1" s="44"/>
      <c r="P1" s="44"/>
      <c r="Q1" s="44"/>
      <c r="R1" s="44"/>
    </row>
    <row r="2" spans="2:18" ht="13.5" customHeight="1">
      <c r="B2" s="44"/>
      <c r="C2" s="44"/>
      <c r="D2" s="44"/>
      <c r="E2" s="44"/>
      <c r="F2" s="44"/>
      <c r="G2" s="44"/>
      <c r="H2" s="44"/>
      <c r="I2" s="44"/>
      <c r="J2" s="44"/>
      <c r="K2" s="44"/>
      <c r="L2" s="44"/>
      <c r="M2" s="44"/>
      <c r="N2" s="44"/>
      <c r="O2" s="44"/>
      <c r="P2" s="44"/>
      <c r="Q2" s="44"/>
      <c r="R2" s="44"/>
    </row>
    <row r="3" spans="2:18" ht="13.5" customHeight="1">
      <c r="B3" s="44"/>
      <c r="C3" s="44"/>
      <c r="D3" s="44"/>
      <c r="E3" s="44"/>
      <c r="F3" s="44"/>
      <c r="G3" s="44"/>
      <c r="H3" s="44"/>
      <c r="I3" s="44"/>
      <c r="J3" s="44"/>
      <c r="K3" s="44"/>
      <c r="L3" s="44"/>
      <c r="M3" s="44"/>
      <c r="N3" s="44"/>
      <c r="O3" s="44"/>
      <c r="P3" s="44"/>
      <c r="Q3" s="44"/>
      <c r="R3" s="44"/>
    </row>
    <row r="4" spans="2:18" ht="13.5" customHeight="1">
      <c r="B4" s="44"/>
      <c r="C4" s="44"/>
      <c r="D4" s="44"/>
      <c r="E4" s="44"/>
      <c r="F4" s="44"/>
      <c r="G4" s="44"/>
      <c r="H4" s="44"/>
      <c r="I4" s="44"/>
      <c r="J4" s="44"/>
      <c r="K4" s="44"/>
      <c r="L4" s="44"/>
      <c r="M4" s="44"/>
      <c r="N4" s="44"/>
      <c r="O4" s="44"/>
      <c r="P4" s="44"/>
      <c r="Q4" s="44"/>
      <c r="R4" s="44"/>
    </row>
    <row r="5" spans="2:18" ht="13.5" customHeight="1">
      <c r="B5" s="44"/>
      <c r="C5" s="44"/>
      <c r="D5" s="44"/>
      <c r="E5" s="44"/>
      <c r="F5" s="44"/>
      <c r="G5" s="44"/>
      <c r="H5" s="44"/>
      <c r="I5" s="44"/>
      <c r="J5" s="44"/>
      <c r="K5" s="44"/>
      <c r="L5" s="44"/>
      <c r="M5" s="44"/>
      <c r="N5" s="44"/>
      <c r="O5" s="44"/>
      <c r="P5" s="44"/>
      <c r="Q5" s="44"/>
      <c r="R5" s="44"/>
    </row>
    <row r="6" spans="2:18" ht="13.5" customHeight="1">
      <c r="B6" s="44"/>
      <c r="C6" s="44"/>
      <c r="D6" s="44"/>
      <c r="E6" s="44"/>
      <c r="F6" s="44"/>
      <c r="G6" s="44"/>
      <c r="H6" s="44"/>
      <c r="I6" s="44"/>
      <c r="J6" s="44"/>
      <c r="K6" s="44"/>
      <c r="L6" s="44"/>
      <c r="M6" s="44"/>
      <c r="N6" s="44"/>
      <c r="O6" s="44"/>
      <c r="P6" s="44"/>
      <c r="Q6" s="44"/>
      <c r="R6" s="44"/>
    </row>
    <row r="7" spans="2:18" ht="13.5" customHeight="1">
      <c r="B7" s="44"/>
      <c r="C7" s="44"/>
      <c r="D7" s="44"/>
      <c r="E7" s="44"/>
      <c r="F7" s="44"/>
      <c r="G7" s="44"/>
      <c r="H7" s="44"/>
      <c r="I7" s="44"/>
      <c r="J7" s="44"/>
      <c r="K7" s="44"/>
      <c r="L7" s="44"/>
      <c r="M7" s="44"/>
      <c r="N7" s="44"/>
      <c r="O7" s="44"/>
      <c r="P7" s="44"/>
      <c r="Q7" s="44"/>
      <c r="R7" s="44"/>
    </row>
    <row r="8" spans="2:18" ht="13.5" customHeight="1">
      <c r="B8" s="44"/>
      <c r="C8" s="44"/>
      <c r="D8" s="44"/>
      <c r="E8" s="44"/>
      <c r="F8" s="44"/>
      <c r="G8" s="44"/>
      <c r="H8" s="44"/>
      <c r="I8" s="44"/>
      <c r="J8" s="44"/>
      <c r="K8" s="44"/>
      <c r="L8" s="44"/>
      <c r="M8" s="44"/>
      <c r="N8" s="44"/>
      <c r="O8" s="44"/>
      <c r="P8" s="44"/>
      <c r="Q8" s="44"/>
      <c r="R8" s="44"/>
    </row>
    <row r="9" spans="2:18" ht="13.5" customHeight="1">
      <c r="B9" s="44"/>
      <c r="C9" s="44"/>
      <c r="D9" s="44"/>
      <c r="E9" s="44"/>
      <c r="F9" s="44"/>
      <c r="G9" s="44"/>
      <c r="H9" s="44"/>
      <c r="I9" s="44"/>
      <c r="J9" s="44"/>
      <c r="K9" s="44"/>
      <c r="L9" s="44"/>
      <c r="M9" s="44"/>
      <c r="N9" s="44"/>
      <c r="O9" s="44"/>
      <c r="P9" s="44"/>
      <c r="Q9" s="44"/>
      <c r="R9" s="44"/>
    </row>
    <row r="10" spans="2:18" ht="13.5" customHeight="1">
      <c r="B10" s="44"/>
      <c r="C10" s="44"/>
      <c r="D10" s="44"/>
      <c r="E10" s="44"/>
      <c r="F10" s="44"/>
      <c r="G10" s="44"/>
      <c r="H10" s="44"/>
      <c r="I10" s="44"/>
      <c r="J10" s="44"/>
      <c r="K10" s="44"/>
      <c r="L10" s="44"/>
      <c r="M10" s="44"/>
      <c r="N10" s="44"/>
      <c r="O10" s="44"/>
      <c r="P10" s="44"/>
      <c r="Q10" s="44"/>
      <c r="R10" s="44"/>
    </row>
    <row r="11" spans="2:18" ht="13.5" customHeight="1">
      <c r="B11" s="44"/>
      <c r="C11" s="44"/>
      <c r="D11" s="44"/>
      <c r="E11" s="44"/>
      <c r="F11" s="44"/>
      <c r="G11" s="44"/>
      <c r="H11" s="44"/>
      <c r="I11" s="44"/>
      <c r="J11" s="44"/>
      <c r="K11" s="44"/>
      <c r="L11" s="44"/>
      <c r="M11" s="44"/>
      <c r="N11" s="44"/>
      <c r="O11" s="44"/>
      <c r="P11" s="44"/>
      <c r="Q11" s="44"/>
      <c r="R11" s="44"/>
    </row>
    <row r="12" spans="2:18" ht="13.5" customHeight="1">
      <c r="B12" s="44"/>
      <c r="C12" s="44"/>
      <c r="D12" s="44"/>
      <c r="E12" s="44"/>
      <c r="F12" s="44"/>
      <c r="G12" s="44"/>
      <c r="H12" s="44"/>
      <c r="I12" s="44"/>
      <c r="J12" s="44"/>
      <c r="K12" s="44"/>
      <c r="L12" s="44"/>
      <c r="M12" s="44"/>
      <c r="N12" s="44"/>
      <c r="O12" s="44"/>
      <c r="P12" s="44"/>
      <c r="Q12" s="44"/>
      <c r="R12" s="44"/>
    </row>
    <row r="13" spans="2:18" ht="19.2">
      <c r="B13" s="44"/>
      <c r="C13" s="44"/>
      <c r="D13" s="44"/>
      <c r="E13" s="45"/>
      <c r="F13" s="44"/>
      <c r="G13" s="44"/>
      <c r="H13" s="44"/>
      <c r="I13" s="44"/>
      <c r="J13" s="44"/>
      <c r="K13" s="44"/>
      <c r="L13" s="44"/>
      <c r="M13" s="44"/>
      <c r="N13" s="44"/>
      <c r="O13" s="44"/>
      <c r="P13" s="44"/>
      <c r="Q13" s="44"/>
      <c r="R13" s="44"/>
    </row>
    <row r="14" spans="2:18" ht="13.5" customHeight="1">
      <c r="B14" s="44"/>
      <c r="C14" s="44"/>
      <c r="D14" s="44"/>
      <c r="E14" s="44"/>
      <c r="F14" s="44"/>
      <c r="G14" s="44"/>
      <c r="H14" s="44"/>
      <c r="I14" s="44"/>
      <c r="J14" s="44"/>
      <c r="K14" s="44"/>
      <c r="L14" s="44"/>
      <c r="M14" s="44"/>
      <c r="N14" s="44"/>
      <c r="O14" s="44"/>
      <c r="P14" s="44"/>
      <c r="Q14" s="44"/>
      <c r="R14" s="44"/>
    </row>
    <row r="15" spans="2:18" ht="13.5" customHeight="1">
      <c r="B15" s="44"/>
      <c r="C15" s="44"/>
      <c r="D15" s="44"/>
      <c r="E15" s="44"/>
      <c r="F15" s="44"/>
      <c r="G15" s="44"/>
      <c r="H15" s="44"/>
      <c r="I15" s="44"/>
      <c r="J15" s="44"/>
      <c r="K15" s="44"/>
      <c r="L15" s="44"/>
      <c r="M15" s="44"/>
      <c r="N15" s="44"/>
      <c r="O15" s="44"/>
      <c r="P15" s="44"/>
      <c r="Q15" s="44"/>
      <c r="R15" s="44"/>
    </row>
    <row r="16" spans="2:18" ht="13.5" customHeight="1">
      <c r="B16" s="44"/>
      <c r="C16" s="44"/>
      <c r="D16" s="44"/>
      <c r="E16" s="44"/>
      <c r="F16" s="44"/>
      <c r="G16" s="44"/>
      <c r="H16" s="44"/>
      <c r="I16" s="44"/>
      <c r="J16" s="44"/>
      <c r="K16" s="44"/>
      <c r="L16" s="44"/>
      <c r="M16" s="44"/>
      <c r="N16" s="44"/>
      <c r="O16" s="44"/>
      <c r="P16" s="44"/>
      <c r="Q16" s="44"/>
      <c r="R16" s="44"/>
    </row>
    <row r="17" spans="2:18" ht="13.5" customHeight="1">
      <c r="B17" s="44"/>
      <c r="C17" s="44"/>
      <c r="D17" s="44"/>
      <c r="E17" s="44"/>
      <c r="F17" s="44"/>
      <c r="G17" s="44"/>
      <c r="H17" s="44"/>
      <c r="I17" s="44"/>
      <c r="J17" s="44"/>
      <c r="K17" s="44"/>
      <c r="L17" s="44"/>
      <c r="M17" s="44"/>
      <c r="N17" s="44"/>
      <c r="O17" s="44"/>
      <c r="P17" s="44"/>
      <c r="Q17" s="44"/>
      <c r="R17" s="44"/>
    </row>
    <row r="18" spans="2:18" ht="13.5" customHeight="1">
      <c r="B18" s="44"/>
      <c r="C18" s="44"/>
      <c r="D18" s="44"/>
      <c r="E18" s="44"/>
      <c r="F18" s="44"/>
      <c r="G18" s="44"/>
      <c r="H18" s="44"/>
      <c r="I18" s="44"/>
      <c r="J18" s="44"/>
      <c r="K18" s="44"/>
      <c r="L18" s="44"/>
      <c r="M18" s="44"/>
      <c r="N18" s="44"/>
      <c r="O18" s="44"/>
      <c r="P18" s="44"/>
      <c r="Q18" s="44"/>
      <c r="R18" s="44"/>
    </row>
    <row r="19" spans="2:18" ht="13.5" customHeight="1">
      <c r="B19" s="44"/>
      <c r="C19" s="44"/>
      <c r="D19" s="44"/>
      <c r="E19" s="44"/>
      <c r="F19" s="44"/>
      <c r="G19" s="44"/>
      <c r="H19" s="44"/>
      <c r="I19" s="44"/>
      <c r="J19" s="44"/>
      <c r="K19" s="44"/>
      <c r="L19" s="44"/>
      <c r="M19" s="44"/>
      <c r="N19" s="44"/>
      <c r="O19" s="44"/>
      <c r="P19" s="44"/>
      <c r="Q19" s="44"/>
      <c r="R19" s="44"/>
    </row>
    <row r="20" spans="2:18" ht="13.5" customHeight="1">
      <c r="B20" s="44"/>
      <c r="C20" s="44"/>
      <c r="D20" s="44"/>
      <c r="E20" s="44"/>
      <c r="F20" s="44"/>
      <c r="G20" s="44"/>
      <c r="H20" s="44"/>
      <c r="I20" s="44"/>
      <c r="J20" s="44"/>
      <c r="K20" s="44"/>
      <c r="L20" s="44"/>
      <c r="M20" s="44"/>
      <c r="N20" s="44"/>
      <c r="O20" s="44"/>
      <c r="P20" s="44"/>
      <c r="Q20" s="44"/>
      <c r="R20" s="44"/>
    </row>
    <row r="21" spans="2:18" ht="13.5" customHeight="1">
      <c r="B21" s="44"/>
      <c r="C21" s="44"/>
      <c r="D21" s="44"/>
      <c r="E21" s="44"/>
      <c r="F21" s="44"/>
      <c r="G21" s="44"/>
      <c r="H21" s="44"/>
      <c r="I21" s="44"/>
      <c r="J21" s="44"/>
      <c r="K21" s="44"/>
      <c r="L21" s="44"/>
      <c r="M21" s="44"/>
      <c r="N21" s="44"/>
      <c r="O21" s="44"/>
      <c r="P21" s="44"/>
      <c r="Q21" s="44"/>
      <c r="R21" s="44"/>
    </row>
    <row r="22" spans="2:18" ht="13.5" customHeight="1">
      <c r="B22" s="44"/>
      <c r="C22" s="44"/>
      <c r="D22" s="44"/>
      <c r="E22" s="44"/>
      <c r="F22" s="44"/>
      <c r="G22" s="44"/>
      <c r="H22" s="44"/>
      <c r="I22" s="44"/>
      <c r="J22" s="44"/>
      <c r="K22" s="44"/>
      <c r="L22" s="44"/>
      <c r="M22" s="44"/>
      <c r="N22" s="44"/>
      <c r="O22" s="44"/>
      <c r="P22" s="44"/>
      <c r="Q22" s="44"/>
      <c r="R22" s="44"/>
    </row>
    <row r="23" spans="2:18" ht="13.5" customHeight="1">
      <c r="B23" s="44"/>
      <c r="C23" s="44"/>
      <c r="D23" s="44"/>
      <c r="E23" s="44"/>
      <c r="F23" s="44"/>
      <c r="G23" s="44"/>
      <c r="H23" s="44"/>
      <c r="I23" s="44"/>
      <c r="J23" s="44"/>
      <c r="K23" s="44"/>
      <c r="L23" s="44"/>
      <c r="M23" s="44"/>
      <c r="N23" s="44"/>
      <c r="O23" s="44"/>
      <c r="P23" s="44"/>
      <c r="Q23" s="44"/>
      <c r="R23" s="44"/>
    </row>
    <row r="24" spans="2:18" ht="13.5" customHeight="1">
      <c r="B24" s="44"/>
      <c r="C24" s="44"/>
      <c r="D24" s="44"/>
      <c r="E24" s="44"/>
      <c r="F24" s="44"/>
      <c r="G24" s="44"/>
      <c r="H24" s="44"/>
      <c r="I24" s="44"/>
      <c r="J24" s="44"/>
      <c r="K24" s="44"/>
      <c r="L24" s="44"/>
      <c r="M24" s="44"/>
      <c r="N24" s="44"/>
      <c r="O24" s="44"/>
      <c r="P24" s="44"/>
      <c r="Q24" s="44"/>
      <c r="R24" s="44"/>
    </row>
    <row r="25" spans="2:18" ht="13.5" customHeight="1">
      <c r="B25" s="44"/>
      <c r="C25" s="44"/>
      <c r="D25" s="44"/>
      <c r="E25" s="44"/>
      <c r="F25" s="44"/>
      <c r="G25" s="44"/>
      <c r="H25" s="44"/>
      <c r="I25" s="44"/>
      <c r="J25" s="44"/>
      <c r="K25" s="44"/>
      <c r="L25" s="44"/>
      <c r="M25" s="44"/>
      <c r="N25" s="44"/>
      <c r="O25" s="44"/>
      <c r="P25" s="44"/>
      <c r="Q25" s="44"/>
      <c r="R25" s="44"/>
    </row>
    <row r="26" spans="2:18" ht="13.5" customHeight="1">
      <c r="B26" s="44"/>
      <c r="C26" s="44"/>
      <c r="D26" s="44"/>
      <c r="E26" s="44"/>
      <c r="F26" s="44"/>
      <c r="G26" s="44"/>
      <c r="H26" s="44"/>
      <c r="I26" s="44"/>
      <c r="J26" s="44"/>
      <c r="K26" s="44"/>
      <c r="L26" s="44"/>
      <c r="M26" s="44"/>
      <c r="N26" s="44"/>
      <c r="O26" s="44"/>
      <c r="P26" s="44"/>
      <c r="Q26" s="44"/>
      <c r="R26" s="44"/>
    </row>
    <row r="27" spans="2:18" ht="13.5" customHeight="1">
      <c r="B27" s="44"/>
      <c r="C27" s="44"/>
      <c r="D27" s="44"/>
      <c r="E27" s="44"/>
      <c r="F27" s="44"/>
      <c r="G27" s="44"/>
      <c r="H27" s="44"/>
      <c r="I27" s="44"/>
      <c r="J27" s="44"/>
      <c r="K27" s="44"/>
      <c r="L27" s="44"/>
      <c r="M27" s="44"/>
      <c r="N27" s="44"/>
      <c r="O27" s="44"/>
      <c r="P27" s="44"/>
      <c r="Q27" s="44"/>
      <c r="R27" s="44"/>
    </row>
    <row r="28" spans="2:18" ht="13.5" customHeight="1">
      <c r="B28" s="44"/>
      <c r="C28" s="44"/>
      <c r="D28" s="44"/>
      <c r="E28" s="44"/>
      <c r="F28" s="44"/>
      <c r="G28" s="44"/>
      <c r="H28" s="44"/>
      <c r="I28" s="44"/>
      <c r="J28" s="44"/>
      <c r="K28" s="44"/>
      <c r="L28" s="44"/>
      <c r="M28" s="44"/>
      <c r="N28" s="44"/>
      <c r="O28" s="44"/>
      <c r="P28" s="44"/>
      <c r="Q28" s="44"/>
      <c r="R28" s="44"/>
    </row>
    <row r="29" spans="2:18" ht="13.5" customHeight="1">
      <c r="B29" s="44"/>
      <c r="C29" s="44"/>
      <c r="D29" s="44"/>
      <c r="E29" s="44"/>
      <c r="F29" s="44"/>
      <c r="G29" s="44"/>
      <c r="H29" s="44"/>
      <c r="I29" s="44"/>
      <c r="J29" s="44"/>
      <c r="K29" s="44"/>
      <c r="L29" s="44"/>
      <c r="M29" s="44"/>
      <c r="N29" s="44"/>
      <c r="O29" s="44"/>
      <c r="P29" s="44"/>
      <c r="Q29" s="44"/>
      <c r="R29" s="44"/>
    </row>
    <row r="30" spans="2:18" ht="13.5" customHeight="1">
      <c r="B30" s="44"/>
      <c r="C30" s="44"/>
      <c r="D30" s="44"/>
      <c r="E30" s="44"/>
      <c r="F30" s="44"/>
      <c r="G30" s="44"/>
      <c r="H30" s="44"/>
      <c r="I30" s="44"/>
      <c r="J30" s="44"/>
      <c r="K30" s="44"/>
      <c r="L30" s="44"/>
      <c r="M30" s="44"/>
      <c r="N30" s="44"/>
      <c r="O30" s="44"/>
      <c r="P30" s="44"/>
      <c r="Q30" s="44"/>
      <c r="R30" s="44"/>
    </row>
    <row r="31" spans="2:18" ht="13.5" customHeight="1">
      <c r="B31" s="44"/>
      <c r="C31" s="44"/>
      <c r="D31" s="44"/>
      <c r="E31" s="44"/>
      <c r="F31" s="44"/>
      <c r="G31" s="44"/>
      <c r="H31" s="44"/>
      <c r="I31" s="44"/>
      <c r="J31" s="44"/>
      <c r="K31" s="44"/>
      <c r="L31" s="44"/>
      <c r="M31" s="44"/>
      <c r="N31" s="44"/>
      <c r="O31" s="44"/>
      <c r="P31" s="44"/>
      <c r="Q31" s="44"/>
      <c r="R31" s="44"/>
    </row>
    <row r="32" spans="2:18" ht="13.5" customHeight="1">
      <c r="B32" s="44"/>
      <c r="C32" s="44"/>
      <c r="D32" s="44"/>
      <c r="E32" s="44"/>
      <c r="F32" s="44"/>
      <c r="G32" s="44"/>
      <c r="H32" s="44"/>
      <c r="I32" s="44"/>
      <c r="J32" s="44"/>
      <c r="K32" s="44"/>
      <c r="L32" s="44"/>
      <c r="M32" s="44"/>
      <c r="N32" s="44"/>
      <c r="O32" s="44"/>
      <c r="P32" s="44"/>
      <c r="Q32" s="44"/>
      <c r="R32" s="44"/>
    </row>
    <row r="33" spans="2:18" ht="13.5" customHeight="1">
      <c r="B33" s="44"/>
      <c r="C33" s="44"/>
      <c r="D33" s="44"/>
      <c r="E33" s="44"/>
      <c r="F33" s="44"/>
      <c r="G33" s="44"/>
      <c r="H33" s="44"/>
      <c r="I33" s="44"/>
      <c r="J33" s="44"/>
      <c r="K33" s="44"/>
      <c r="L33" s="44"/>
      <c r="M33" s="44"/>
      <c r="N33" s="44"/>
      <c r="O33" s="44"/>
      <c r="P33" s="44"/>
      <c r="Q33" s="44"/>
      <c r="R33" s="44"/>
    </row>
    <row r="34" spans="2:18" ht="13.5" customHeight="1">
      <c r="B34" s="44"/>
      <c r="C34" s="44"/>
      <c r="D34" s="44"/>
      <c r="E34" s="44"/>
      <c r="F34" s="44"/>
      <c r="G34" s="44"/>
      <c r="H34" s="44"/>
      <c r="I34" s="44"/>
      <c r="J34" s="44"/>
      <c r="K34" s="44"/>
      <c r="L34" s="44"/>
      <c r="M34" s="44"/>
      <c r="N34" s="44"/>
      <c r="O34" s="44"/>
      <c r="P34" s="44"/>
      <c r="Q34" s="44"/>
      <c r="R34" s="44"/>
    </row>
    <row r="35" spans="2:18" ht="13.5" customHeight="1">
      <c r="B35" s="44"/>
      <c r="C35" s="44"/>
      <c r="D35" s="44"/>
      <c r="E35" s="44"/>
      <c r="F35" s="44"/>
      <c r="G35" s="44"/>
      <c r="H35" s="44"/>
      <c r="I35" s="44"/>
      <c r="J35" s="44"/>
      <c r="K35" s="44"/>
      <c r="L35" s="44"/>
      <c r="M35" s="44"/>
      <c r="N35" s="44"/>
      <c r="O35" s="44"/>
      <c r="P35" s="44"/>
      <c r="Q35" s="44"/>
      <c r="R35" s="44"/>
    </row>
    <row r="36" spans="2:18" ht="13.5" customHeight="1">
      <c r="B36" s="44"/>
      <c r="C36" s="44"/>
      <c r="D36" s="44"/>
      <c r="E36" s="44"/>
      <c r="F36" s="44"/>
      <c r="G36" s="44"/>
      <c r="H36" s="44"/>
      <c r="I36" s="44"/>
      <c r="J36" s="44"/>
      <c r="K36" s="44"/>
      <c r="L36" s="44"/>
      <c r="M36" s="44"/>
      <c r="N36" s="44"/>
      <c r="O36" s="44"/>
      <c r="P36" s="44"/>
      <c r="Q36" s="44"/>
      <c r="R36" s="44"/>
    </row>
    <row r="37" spans="2:18" ht="13.5" customHeight="1">
      <c r="G37" s="44"/>
      <c r="H37" s="44"/>
      <c r="I37" s="44"/>
      <c r="J37" s="44"/>
      <c r="K37" s="44"/>
      <c r="L37" s="44"/>
      <c r="M37" s="44"/>
      <c r="N37" s="44"/>
      <c r="O37" s="44"/>
      <c r="P37" s="44"/>
      <c r="Q37" s="44"/>
      <c r="R37" s="44"/>
    </row>
    <row r="38" spans="2:18" ht="13.5" hidden="1" customHeight="1">
      <c r="J38" s="44"/>
      <c r="K38" s="44"/>
      <c r="L38" s="44"/>
      <c r="M38" s="44"/>
      <c r="N38" s="44"/>
      <c r="O38" s="44"/>
      <c r="P38" s="44"/>
      <c r="Q38" s="44"/>
      <c r="R38" s="44"/>
    </row>
  </sheetData>
  <sheetProtection algorithmName="SHA-512" hashValue="EFUdvKQSZ1+yWkP1f2lLocFjMVCk/PUCxH+TTlU0jVlk7wCYixOoxdrLWnxzeZ8t/9RGYtJbp85GAncU+ApdQA==" saltValue="aRhKNsuCaVMgRjAuuKrwQg==" spinCount="100000" sheet="1" objects="1" scenarios="1"/>
  <phoneticPr fontId="4"/>
  <printOptions horizontalCentered="1"/>
  <pageMargins left="0.59055118110236227" right="0.78740157480314965" top="0.78740157480314965" bottom="0.78740157480314965" header="0.51181102362204722" footer="0.51181102362204722"/>
  <pageSetup paperSize="9" scale="59" orientation="portrait" horizontalDpi="4294967293" verticalDpi="4294967293" r:id="rId1"/>
  <headerFooter alignWithMargins="0">
    <oddHeader>&amp;L&amp;F&amp;R&amp;A</oddHeader>
    <oddFooter>&amp;C&amp;P/&amp;N</oddFooter>
  </headerFooter>
  <rowBreaks count="1" manualBreakCount="1">
    <brk id="37" max="1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41895-322B-40C9-A56A-B0F83525DAAA}">
  <sheetPr>
    <pageSetUpPr fitToPage="1"/>
  </sheetPr>
  <dimension ref="A1:S38"/>
  <sheetViews>
    <sheetView showGridLines="0" workbookViewId="0">
      <selection activeCell="S13" sqref="S13"/>
    </sheetView>
  </sheetViews>
  <sheetFormatPr defaultColWidth="0" defaultRowHeight="13.5" customHeight="1" zeroHeight="1"/>
  <cols>
    <col min="1" max="1" width="1.109375" style="7" customWidth="1"/>
    <col min="2" max="18" width="8.77734375" style="7" customWidth="1"/>
    <col min="19" max="19" width="1.44140625" style="7" customWidth="1"/>
    <col min="20" max="16384" width="8.77734375" style="7" hidden="1"/>
  </cols>
  <sheetData>
    <row r="1" spans="2:18" ht="13.5" customHeight="1">
      <c r="B1" s="44"/>
      <c r="C1" s="44"/>
      <c r="D1" s="44"/>
      <c r="E1" s="44"/>
      <c r="F1" s="44"/>
      <c r="G1" s="44"/>
      <c r="H1" s="44"/>
      <c r="I1" s="44"/>
      <c r="J1" s="44"/>
      <c r="K1" s="44"/>
      <c r="L1" s="44"/>
      <c r="M1" s="44"/>
      <c r="N1" s="44"/>
      <c r="O1" s="44"/>
      <c r="P1" s="44"/>
      <c r="Q1" s="44"/>
      <c r="R1" s="44"/>
    </row>
    <row r="2" spans="2:18" ht="13.5" customHeight="1">
      <c r="B2" s="44"/>
      <c r="C2" s="44"/>
      <c r="D2" s="44"/>
      <c r="E2" s="44"/>
      <c r="F2" s="44"/>
      <c r="G2" s="44"/>
      <c r="H2" s="44"/>
      <c r="I2" s="44"/>
      <c r="J2" s="44"/>
      <c r="K2" s="44"/>
      <c r="L2" s="44"/>
      <c r="M2" s="44"/>
      <c r="N2" s="44"/>
      <c r="O2" s="44"/>
      <c r="P2" s="44"/>
      <c r="Q2" s="44"/>
      <c r="R2" s="44"/>
    </row>
    <row r="3" spans="2:18" ht="13.5" customHeight="1">
      <c r="B3" s="44"/>
      <c r="C3" s="44"/>
      <c r="D3" s="44"/>
      <c r="E3" s="44"/>
      <c r="F3" s="44"/>
      <c r="G3" s="44"/>
      <c r="H3" s="44"/>
      <c r="I3" s="44"/>
      <c r="J3" s="44"/>
      <c r="K3" s="44"/>
      <c r="L3" s="44"/>
      <c r="M3" s="44"/>
      <c r="N3" s="44"/>
      <c r="O3" s="44"/>
      <c r="P3" s="44"/>
      <c r="Q3" s="44"/>
      <c r="R3" s="44"/>
    </row>
    <row r="4" spans="2:18" ht="13.5" customHeight="1">
      <c r="B4" s="44"/>
      <c r="C4" s="44"/>
      <c r="D4" s="44"/>
      <c r="E4" s="44"/>
      <c r="F4" s="44"/>
      <c r="G4" s="44"/>
      <c r="H4" s="44"/>
      <c r="I4" s="44"/>
      <c r="J4" s="44"/>
      <c r="K4" s="44"/>
      <c r="L4" s="44"/>
      <c r="M4" s="44"/>
      <c r="N4" s="44"/>
      <c r="O4" s="44"/>
      <c r="P4" s="44"/>
      <c r="Q4" s="44"/>
      <c r="R4" s="44"/>
    </row>
    <row r="5" spans="2:18" ht="13.5" customHeight="1">
      <c r="B5" s="44"/>
      <c r="C5" s="44"/>
      <c r="D5" s="44"/>
      <c r="E5" s="44"/>
      <c r="F5" s="44"/>
      <c r="G5" s="44"/>
      <c r="H5" s="44"/>
      <c r="I5" s="44"/>
      <c r="J5" s="44"/>
      <c r="K5" s="44"/>
      <c r="L5" s="44"/>
      <c r="M5" s="44"/>
      <c r="N5" s="44"/>
      <c r="O5" s="44"/>
      <c r="P5" s="44"/>
      <c r="Q5" s="44"/>
      <c r="R5" s="44"/>
    </row>
    <row r="6" spans="2:18" ht="13.5" customHeight="1">
      <c r="B6" s="44"/>
      <c r="C6" s="44"/>
      <c r="D6" s="44"/>
      <c r="E6" s="44"/>
      <c r="F6" s="44"/>
      <c r="G6" s="44"/>
      <c r="H6" s="44"/>
      <c r="I6" s="44"/>
      <c r="J6" s="44"/>
      <c r="K6" s="44"/>
      <c r="L6" s="44"/>
      <c r="M6" s="44"/>
      <c r="N6" s="44"/>
      <c r="O6" s="44"/>
      <c r="P6" s="44"/>
      <c r="Q6" s="44"/>
      <c r="R6" s="44"/>
    </row>
    <row r="7" spans="2:18" ht="13.5" customHeight="1">
      <c r="B7" s="44"/>
      <c r="C7" s="44"/>
      <c r="D7" s="44"/>
      <c r="E7" s="44"/>
      <c r="F7" s="44"/>
      <c r="G7" s="44"/>
      <c r="H7" s="44"/>
      <c r="I7" s="44"/>
      <c r="J7" s="44"/>
      <c r="K7" s="44"/>
      <c r="L7" s="44"/>
      <c r="M7" s="44"/>
      <c r="N7" s="44"/>
      <c r="O7" s="44"/>
      <c r="P7" s="44"/>
      <c r="Q7" s="44"/>
      <c r="R7" s="44"/>
    </row>
    <row r="8" spans="2:18" ht="13.5" customHeight="1">
      <c r="B8" s="44"/>
      <c r="C8" s="44"/>
      <c r="D8" s="44"/>
      <c r="E8" s="44"/>
      <c r="F8" s="44"/>
      <c r="G8" s="44"/>
      <c r="H8" s="44"/>
      <c r="I8" s="44"/>
      <c r="J8" s="44"/>
      <c r="K8" s="44"/>
      <c r="L8" s="44"/>
      <c r="M8" s="44"/>
      <c r="N8" s="44"/>
      <c r="O8" s="44"/>
      <c r="P8" s="44"/>
      <c r="Q8" s="44"/>
      <c r="R8" s="44"/>
    </row>
    <row r="9" spans="2:18" ht="13.5" customHeight="1">
      <c r="B9" s="44"/>
      <c r="C9" s="44"/>
      <c r="D9" s="44"/>
      <c r="E9" s="44"/>
      <c r="F9" s="44"/>
      <c r="G9" s="44"/>
      <c r="H9" s="44"/>
      <c r="I9" s="44"/>
      <c r="J9" s="44"/>
      <c r="K9" s="44"/>
      <c r="L9" s="44"/>
      <c r="M9" s="44"/>
      <c r="N9" s="44"/>
      <c r="O9" s="44"/>
      <c r="P9" s="44"/>
      <c r="Q9" s="44"/>
      <c r="R9" s="44"/>
    </row>
    <row r="10" spans="2:18" ht="13.5" customHeight="1">
      <c r="B10" s="44"/>
      <c r="C10" s="44"/>
      <c r="D10" s="44"/>
      <c r="E10" s="44"/>
      <c r="F10" s="44"/>
      <c r="G10" s="44"/>
      <c r="H10" s="44"/>
      <c r="I10" s="44"/>
      <c r="J10" s="44"/>
      <c r="K10" s="44"/>
      <c r="L10" s="44"/>
      <c r="M10" s="44"/>
      <c r="N10" s="44"/>
      <c r="O10" s="44"/>
      <c r="P10" s="44"/>
      <c r="Q10" s="44"/>
      <c r="R10" s="44"/>
    </row>
    <row r="11" spans="2:18" ht="13.5" customHeight="1">
      <c r="B11" s="44"/>
      <c r="C11" s="44"/>
      <c r="D11" s="44"/>
      <c r="E11" s="44"/>
      <c r="F11" s="44"/>
      <c r="G11" s="44"/>
      <c r="H11" s="44"/>
      <c r="I11" s="44"/>
      <c r="J11" s="44"/>
      <c r="K11" s="44"/>
      <c r="L11" s="44"/>
      <c r="M11" s="44"/>
      <c r="N11" s="44"/>
      <c r="O11" s="44"/>
      <c r="P11" s="44"/>
      <c r="Q11" s="44"/>
      <c r="R11" s="44"/>
    </row>
    <row r="12" spans="2:18" ht="13.5" customHeight="1">
      <c r="B12" s="44"/>
      <c r="C12" s="44"/>
      <c r="D12" s="44"/>
      <c r="E12" s="44"/>
      <c r="F12" s="44"/>
      <c r="G12" s="44"/>
      <c r="H12" s="44"/>
      <c r="I12" s="44"/>
      <c r="J12" s="44"/>
      <c r="K12" s="44"/>
      <c r="L12" s="44"/>
      <c r="M12" s="44"/>
      <c r="N12" s="44"/>
      <c r="O12" s="44"/>
      <c r="P12" s="44"/>
      <c r="Q12" s="44"/>
      <c r="R12" s="44"/>
    </row>
    <row r="13" spans="2:18" ht="19.2">
      <c r="B13" s="44"/>
      <c r="C13" s="44"/>
      <c r="D13" s="44"/>
      <c r="E13" s="45"/>
      <c r="F13" s="44"/>
      <c r="G13" s="44"/>
      <c r="H13" s="44"/>
      <c r="I13" s="44"/>
      <c r="J13" s="44"/>
      <c r="K13" s="44"/>
      <c r="L13" s="44"/>
      <c r="M13" s="44"/>
      <c r="N13" s="44"/>
      <c r="O13" s="44"/>
      <c r="P13" s="44"/>
      <c r="Q13" s="44"/>
      <c r="R13" s="44"/>
    </row>
    <row r="14" spans="2:18" ht="13.5" customHeight="1">
      <c r="B14" s="44"/>
      <c r="C14" s="44"/>
      <c r="D14" s="44"/>
      <c r="E14" s="44"/>
      <c r="F14" s="44"/>
      <c r="G14" s="44"/>
      <c r="H14" s="44"/>
      <c r="I14" s="44"/>
      <c r="J14" s="44"/>
      <c r="K14" s="44"/>
      <c r="L14" s="44"/>
      <c r="M14" s="44"/>
      <c r="N14" s="44"/>
      <c r="O14" s="44"/>
      <c r="P14" s="44"/>
      <c r="Q14" s="44"/>
      <c r="R14" s="44"/>
    </row>
    <row r="15" spans="2:18" ht="13.5" customHeight="1">
      <c r="B15" s="44"/>
      <c r="C15" s="44"/>
      <c r="D15" s="44"/>
      <c r="E15" s="44"/>
      <c r="F15" s="44"/>
      <c r="G15" s="44"/>
      <c r="H15" s="44"/>
      <c r="I15" s="44"/>
      <c r="J15" s="44"/>
      <c r="K15" s="44"/>
      <c r="L15" s="44"/>
      <c r="M15" s="44"/>
      <c r="N15" s="44"/>
      <c r="O15" s="44"/>
      <c r="P15" s="44"/>
      <c r="Q15" s="44"/>
      <c r="R15" s="44"/>
    </row>
    <row r="16" spans="2:18" ht="13.5" customHeight="1">
      <c r="B16" s="44"/>
      <c r="C16" s="44"/>
      <c r="D16" s="44"/>
      <c r="E16" s="44"/>
      <c r="F16" s="44"/>
      <c r="G16" s="44"/>
      <c r="H16" s="44"/>
      <c r="I16" s="44"/>
      <c r="J16" s="44"/>
      <c r="K16" s="44"/>
      <c r="L16" s="44"/>
      <c r="M16" s="44"/>
      <c r="N16" s="44"/>
      <c r="O16" s="44"/>
      <c r="P16" s="44"/>
      <c r="Q16" s="44"/>
      <c r="R16" s="44"/>
    </row>
    <row r="17" spans="2:18" ht="13.5" customHeight="1">
      <c r="B17" s="44"/>
      <c r="C17" s="44"/>
      <c r="D17" s="44"/>
      <c r="E17" s="44"/>
      <c r="F17" s="44"/>
      <c r="G17" s="44"/>
      <c r="H17" s="44"/>
      <c r="I17" s="44"/>
      <c r="J17" s="44"/>
      <c r="K17" s="44"/>
      <c r="L17" s="44"/>
      <c r="M17" s="44"/>
      <c r="N17" s="44"/>
      <c r="O17" s="44"/>
      <c r="P17" s="44"/>
      <c r="Q17" s="44"/>
      <c r="R17" s="44"/>
    </row>
    <row r="18" spans="2:18" ht="13.5" customHeight="1">
      <c r="B18" s="44"/>
      <c r="C18" s="44"/>
      <c r="D18" s="44"/>
      <c r="E18" s="44"/>
      <c r="F18" s="44"/>
      <c r="G18" s="44"/>
      <c r="H18" s="44"/>
      <c r="I18" s="44"/>
      <c r="J18" s="44"/>
      <c r="K18" s="44"/>
      <c r="L18" s="44"/>
      <c r="M18" s="44"/>
      <c r="N18" s="44"/>
      <c r="O18" s="44"/>
      <c r="P18" s="44"/>
      <c r="Q18" s="44"/>
      <c r="R18" s="44"/>
    </row>
    <row r="19" spans="2:18" ht="13.5" customHeight="1">
      <c r="B19" s="44"/>
      <c r="C19" s="44"/>
      <c r="D19" s="44"/>
      <c r="E19" s="44"/>
      <c r="F19" s="44"/>
      <c r="G19" s="44"/>
      <c r="H19" s="44"/>
      <c r="I19" s="44"/>
      <c r="J19" s="44"/>
      <c r="K19" s="44"/>
      <c r="L19" s="44"/>
      <c r="M19" s="44"/>
      <c r="N19" s="44"/>
      <c r="O19" s="44"/>
      <c r="P19" s="44"/>
      <c r="Q19" s="44"/>
      <c r="R19" s="44"/>
    </row>
    <row r="20" spans="2:18" ht="13.5" customHeight="1">
      <c r="B20" s="44"/>
      <c r="C20" s="44"/>
      <c r="D20" s="44"/>
      <c r="E20" s="44"/>
      <c r="F20" s="44"/>
      <c r="G20" s="44"/>
      <c r="H20" s="44"/>
      <c r="I20" s="44"/>
      <c r="J20" s="44"/>
      <c r="K20" s="44"/>
      <c r="L20" s="44"/>
      <c r="M20" s="44"/>
      <c r="N20" s="44"/>
      <c r="O20" s="44"/>
      <c r="P20" s="44"/>
      <c r="Q20" s="44"/>
      <c r="R20" s="44"/>
    </row>
    <row r="21" spans="2:18" ht="13.5" customHeight="1">
      <c r="B21" s="44"/>
      <c r="C21" s="44"/>
      <c r="D21" s="44"/>
      <c r="E21" s="44"/>
      <c r="F21" s="44"/>
      <c r="G21" s="44"/>
      <c r="H21" s="44"/>
      <c r="I21" s="44"/>
      <c r="J21" s="44"/>
      <c r="K21" s="44"/>
      <c r="L21" s="44"/>
      <c r="M21" s="44"/>
      <c r="N21" s="44"/>
      <c r="O21" s="44"/>
      <c r="P21" s="44"/>
      <c r="Q21" s="44"/>
      <c r="R21" s="44"/>
    </row>
    <row r="22" spans="2:18" ht="13.5" customHeight="1">
      <c r="B22" s="44"/>
      <c r="C22" s="44"/>
      <c r="D22" s="44"/>
      <c r="E22" s="44"/>
      <c r="F22" s="44"/>
      <c r="G22" s="44"/>
      <c r="H22" s="44"/>
      <c r="I22" s="44"/>
      <c r="J22" s="44"/>
      <c r="K22" s="44"/>
      <c r="L22" s="44"/>
      <c r="M22" s="44"/>
      <c r="N22" s="44"/>
      <c r="O22" s="44"/>
      <c r="P22" s="44"/>
      <c r="Q22" s="44"/>
      <c r="R22" s="44"/>
    </row>
    <row r="23" spans="2:18" ht="13.5" customHeight="1">
      <c r="B23" s="44"/>
      <c r="C23" s="44"/>
      <c r="D23" s="44"/>
      <c r="E23" s="44"/>
      <c r="F23" s="44"/>
      <c r="G23" s="44"/>
      <c r="H23" s="44"/>
      <c r="I23" s="44"/>
      <c r="J23" s="44"/>
      <c r="K23" s="44"/>
      <c r="L23" s="44"/>
      <c r="M23" s="44"/>
      <c r="N23" s="44"/>
      <c r="O23" s="44"/>
      <c r="P23" s="44"/>
      <c r="Q23" s="44"/>
      <c r="R23" s="44"/>
    </row>
    <row r="24" spans="2:18" ht="13.5" customHeight="1">
      <c r="B24" s="44"/>
      <c r="C24" s="44"/>
      <c r="D24" s="44"/>
      <c r="E24" s="44"/>
      <c r="F24" s="44"/>
      <c r="G24" s="44"/>
      <c r="H24" s="44"/>
      <c r="I24" s="44"/>
      <c r="J24" s="44"/>
      <c r="K24" s="44"/>
      <c r="L24" s="44"/>
      <c r="M24" s="44"/>
      <c r="N24" s="44"/>
      <c r="O24" s="44"/>
      <c r="P24" s="44"/>
      <c r="Q24" s="44"/>
      <c r="R24" s="44"/>
    </row>
    <row r="25" spans="2:18" ht="13.5" customHeight="1">
      <c r="B25" s="44"/>
      <c r="C25" s="44"/>
      <c r="D25" s="44"/>
      <c r="E25" s="44"/>
      <c r="F25" s="44"/>
      <c r="G25" s="44"/>
      <c r="H25" s="44"/>
      <c r="I25" s="44"/>
      <c r="J25" s="44"/>
      <c r="K25" s="44"/>
      <c r="L25" s="44"/>
      <c r="M25" s="44"/>
      <c r="N25" s="44"/>
      <c r="O25" s="44"/>
      <c r="P25" s="44"/>
      <c r="Q25" s="44"/>
      <c r="R25" s="44"/>
    </row>
    <row r="26" spans="2:18" ht="13.5" customHeight="1">
      <c r="B26" s="44"/>
      <c r="C26" s="44"/>
      <c r="D26" s="44"/>
      <c r="E26" s="44"/>
      <c r="F26" s="44"/>
      <c r="G26" s="44"/>
      <c r="H26" s="44"/>
      <c r="I26" s="44"/>
      <c r="J26" s="44"/>
      <c r="K26" s="44"/>
      <c r="L26" s="44"/>
      <c r="M26" s="44"/>
      <c r="N26" s="44"/>
      <c r="O26" s="44"/>
      <c r="P26" s="44"/>
      <c r="Q26" s="44"/>
      <c r="R26" s="44"/>
    </row>
    <row r="27" spans="2:18" ht="13.5" customHeight="1">
      <c r="B27" s="44"/>
      <c r="C27" s="44"/>
      <c r="D27" s="44"/>
      <c r="E27" s="44"/>
      <c r="F27" s="44"/>
      <c r="G27" s="44"/>
      <c r="H27" s="44"/>
      <c r="I27" s="44"/>
      <c r="J27" s="44"/>
      <c r="K27" s="44"/>
      <c r="L27" s="44"/>
      <c r="M27" s="44"/>
      <c r="N27" s="44"/>
      <c r="O27" s="44"/>
      <c r="P27" s="44"/>
      <c r="Q27" s="44"/>
      <c r="R27" s="44"/>
    </row>
    <row r="28" spans="2:18" ht="13.5" customHeight="1">
      <c r="B28" s="44"/>
      <c r="C28" s="44"/>
      <c r="D28" s="44"/>
      <c r="E28" s="44"/>
      <c r="F28" s="44"/>
      <c r="G28" s="44"/>
      <c r="H28" s="44"/>
      <c r="I28" s="44"/>
      <c r="J28" s="44"/>
      <c r="K28" s="44"/>
      <c r="L28" s="44"/>
      <c r="M28" s="44"/>
      <c r="N28" s="44"/>
      <c r="O28" s="44"/>
      <c r="P28" s="44"/>
      <c r="Q28" s="44"/>
      <c r="R28" s="44"/>
    </row>
    <row r="29" spans="2:18" ht="13.5" customHeight="1">
      <c r="B29" s="44"/>
      <c r="C29" s="44"/>
      <c r="D29" s="44"/>
      <c r="E29" s="44"/>
      <c r="F29" s="44"/>
      <c r="G29" s="44"/>
      <c r="H29" s="44"/>
      <c r="I29" s="44"/>
      <c r="J29" s="44"/>
      <c r="K29" s="44"/>
      <c r="L29" s="44"/>
      <c r="M29" s="44"/>
      <c r="N29" s="44"/>
      <c r="O29" s="44"/>
      <c r="P29" s="44"/>
      <c r="Q29" s="44"/>
      <c r="R29" s="44"/>
    </row>
    <row r="30" spans="2:18" ht="13.5" customHeight="1">
      <c r="B30" s="44"/>
      <c r="C30" s="44"/>
      <c r="D30" s="44"/>
      <c r="E30" s="44"/>
      <c r="F30" s="44"/>
      <c r="G30" s="44"/>
      <c r="H30" s="44"/>
      <c r="I30" s="44"/>
      <c r="J30" s="44"/>
      <c r="K30" s="44"/>
      <c r="L30" s="44"/>
      <c r="M30" s="44"/>
      <c r="N30" s="44"/>
      <c r="O30" s="44"/>
      <c r="P30" s="44"/>
      <c r="Q30" s="44"/>
      <c r="R30" s="44"/>
    </row>
    <row r="31" spans="2:18" ht="13.5" customHeight="1">
      <c r="B31" s="44"/>
      <c r="C31" s="44"/>
      <c r="D31" s="44"/>
      <c r="E31" s="44"/>
      <c r="F31" s="44"/>
      <c r="G31" s="44"/>
      <c r="H31" s="44"/>
      <c r="I31" s="44"/>
      <c r="J31" s="44"/>
      <c r="K31" s="44"/>
      <c r="L31" s="44"/>
      <c r="M31" s="44"/>
      <c r="N31" s="44"/>
      <c r="O31" s="44"/>
      <c r="P31" s="44"/>
      <c r="Q31" s="44"/>
      <c r="R31" s="44"/>
    </row>
    <row r="32" spans="2:18" ht="13.5" customHeight="1">
      <c r="B32" s="44"/>
      <c r="C32" s="44"/>
      <c r="D32" s="44"/>
      <c r="E32" s="44"/>
      <c r="F32" s="44"/>
      <c r="G32" s="44"/>
      <c r="H32" s="44"/>
      <c r="I32" s="44"/>
      <c r="J32" s="44"/>
      <c r="K32" s="44"/>
      <c r="L32" s="44"/>
      <c r="M32" s="44"/>
      <c r="N32" s="44"/>
      <c r="O32" s="44"/>
      <c r="P32" s="44"/>
      <c r="Q32" s="44"/>
      <c r="R32" s="44"/>
    </row>
    <row r="33" spans="2:18" ht="13.5" customHeight="1">
      <c r="B33" s="44"/>
      <c r="C33" s="44"/>
      <c r="D33" s="44"/>
      <c r="E33" s="44"/>
      <c r="F33" s="44"/>
      <c r="G33" s="44"/>
      <c r="H33" s="44"/>
      <c r="I33" s="44"/>
      <c r="J33" s="44"/>
      <c r="K33" s="44"/>
      <c r="L33" s="44"/>
      <c r="M33" s="44"/>
      <c r="N33" s="44"/>
      <c r="O33" s="44"/>
      <c r="P33" s="44"/>
      <c r="Q33" s="44"/>
      <c r="R33" s="44"/>
    </row>
    <row r="34" spans="2:18" ht="13.5" customHeight="1">
      <c r="B34" s="44"/>
      <c r="C34" s="44"/>
      <c r="D34" s="44"/>
      <c r="E34" s="44"/>
      <c r="F34" s="44"/>
      <c r="G34" s="44"/>
      <c r="H34" s="44"/>
      <c r="I34" s="44"/>
      <c r="J34" s="44"/>
      <c r="K34" s="44"/>
      <c r="L34" s="44"/>
      <c r="M34" s="44"/>
      <c r="N34" s="44"/>
      <c r="O34" s="44"/>
      <c r="P34" s="44"/>
      <c r="Q34" s="44"/>
      <c r="R34" s="44"/>
    </row>
    <row r="35" spans="2:18" ht="13.5" customHeight="1">
      <c r="B35" s="44"/>
      <c r="C35" s="44"/>
      <c r="D35" s="44"/>
      <c r="E35" s="44"/>
      <c r="F35" s="44"/>
      <c r="G35" s="44"/>
      <c r="H35" s="44"/>
      <c r="I35" s="44"/>
      <c r="J35" s="44"/>
      <c r="K35" s="44"/>
      <c r="L35" s="44"/>
      <c r="M35" s="44"/>
      <c r="N35" s="44"/>
      <c r="O35" s="44"/>
      <c r="P35" s="44"/>
      <c r="Q35" s="44"/>
      <c r="R35" s="44"/>
    </row>
    <row r="36" spans="2:18" ht="13.5" customHeight="1">
      <c r="B36" s="44"/>
      <c r="C36" s="44"/>
      <c r="D36" s="44"/>
      <c r="E36" s="44"/>
      <c r="F36" s="44"/>
      <c r="G36" s="44"/>
      <c r="H36" s="44"/>
      <c r="I36" s="44"/>
      <c r="J36" s="44"/>
      <c r="K36" s="44"/>
      <c r="L36" s="44"/>
      <c r="M36" s="44"/>
      <c r="N36" s="44"/>
      <c r="O36" s="44"/>
      <c r="P36" s="44"/>
      <c r="Q36" s="44"/>
      <c r="R36" s="44"/>
    </row>
    <row r="37" spans="2:18" ht="13.5" customHeight="1">
      <c r="G37" s="44"/>
      <c r="H37" s="44"/>
      <c r="I37" s="44"/>
      <c r="J37" s="44"/>
      <c r="K37" s="44"/>
      <c r="L37" s="44"/>
      <c r="M37" s="44"/>
      <c r="N37" s="44"/>
      <c r="O37" s="44"/>
      <c r="P37" s="44"/>
      <c r="Q37" s="44"/>
      <c r="R37" s="44"/>
    </row>
    <row r="38" spans="2:18" ht="13.5" hidden="1" customHeight="1">
      <c r="J38" s="44"/>
      <c r="K38" s="44"/>
      <c r="L38" s="44"/>
      <c r="M38" s="44"/>
      <c r="N38" s="44"/>
      <c r="O38" s="44"/>
      <c r="P38" s="44"/>
      <c r="Q38" s="44"/>
      <c r="R38" s="44"/>
    </row>
  </sheetData>
  <phoneticPr fontId="4"/>
  <printOptions horizontalCentered="1"/>
  <pageMargins left="0.59055118110236227" right="0.78740157480314965" top="0.78740157480314965" bottom="0.78740157480314965" header="0.51181102362204722" footer="0.51181102362204722"/>
  <pageSetup paperSize="9" scale="59" orientation="portrait" horizontalDpi="4294967293"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IV82"/>
  <sheetViews>
    <sheetView showGridLines="0" tabSelected="1" zoomScaleNormal="100" workbookViewId="0">
      <selection activeCell="C12" sqref="C12"/>
    </sheetView>
  </sheetViews>
  <sheetFormatPr defaultColWidth="0" defaultRowHeight="0" customHeight="1" zeroHeight="1"/>
  <cols>
    <col min="1" max="1" width="1.77734375" customWidth="1"/>
    <col min="2" max="2" width="26.109375" customWidth="1"/>
    <col min="3" max="3" width="19.21875" customWidth="1"/>
    <col min="4" max="4" width="18.33203125" customWidth="1"/>
    <col min="5" max="5" width="17.44140625" customWidth="1"/>
    <col min="6" max="6" width="2.88671875" customWidth="1"/>
    <col min="7" max="7" width="16.77734375" hidden="1" customWidth="1"/>
    <col min="8" max="8" width="19.21875" hidden="1" customWidth="1"/>
    <col min="9" max="9" width="24.33203125" hidden="1" customWidth="1"/>
    <col min="10" max="10" width="26.77734375" hidden="1" customWidth="1"/>
    <col min="11" max="11" width="29.44140625" hidden="1" customWidth="1"/>
    <col min="12" max="12" width="1.21875" hidden="1" customWidth="1"/>
    <col min="13" max="13" width="1.6640625" hidden="1" customWidth="1"/>
    <col min="14" max="14" width="8" style="284" hidden="1" customWidth="1"/>
    <col min="15" max="15" width="11.33203125" style="284" hidden="1" customWidth="1"/>
    <col min="16" max="23" width="9.109375" hidden="1" customWidth="1"/>
    <col min="24" max="251" width="8.88671875" hidden="1" customWidth="1"/>
    <col min="252" max="256" width="9" hidden="1" customWidth="1"/>
    <col min="257" max="16384" width="5.109375" hidden="1"/>
  </cols>
  <sheetData>
    <row r="1" spans="1:16" ht="14.25" customHeight="1">
      <c r="A1" s="6"/>
      <c r="B1" s="16"/>
      <c r="C1" s="6"/>
      <c r="D1" s="6"/>
      <c r="E1" s="6"/>
      <c r="F1" s="6"/>
      <c r="N1" s="8"/>
      <c r="O1" s="8"/>
      <c r="P1" s="8"/>
    </row>
    <row r="2" spans="1:16" ht="14.25" customHeight="1">
      <c r="A2" s="6"/>
      <c r="B2" s="713"/>
      <c r="C2" s="713"/>
      <c r="D2" s="713"/>
      <c r="E2" s="43"/>
      <c r="F2" s="6"/>
      <c r="P2" s="284"/>
    </row>
    <row r="3" spans="1:16" ht="32.25" customHeight="1">
      <c r="A3" s="6"/>
      <c r="B3" s="714"/>
      <c r="C3" s="714"/>
      <c r="D3" s="714"/>
      <c r="E3" s="788"/>
      <c r="F3" s="6"/>
      <c r="P3" s="284"/>
    </row>
    <row r="4" spans="1:16" ht="30" customHeight="1">
      <c r="A4" s="6"/>
      <c r="B4" s="793" t="s">
        <v>908</v>
      </c>
      <c r="C4" s="794"/>
      <c r="D4" s="794"/>
      <c r="E4" s="795"/>
      <c r="F4" s="6"/>
      <c r="N4" s="8"/>
      <c r="O4"/>
      <c r="P4" s="8"/>
    </row>
    <row r="5" spans="1:16" ht="14.25" customHeight="1">
      <c r="A5" s="6"/>
      <c r="B5" s="792" t="s">
        <v>174</v>
      </c>
      <c r="C5" s="717" t="s">
        <v>2143</v>
      </c>
      <c r="D5" s="717"/>
      <c r="E5" s="715"/>
      <c r="F5" s="6"/>
      <c r="N5"/>
      <c r="O5" s="8"/>
      <c r="P5" s="8"/>
    </row>
    <row r="6" spans="1:16" ht="14.25" customHeight="1">
      <c r="A6" s="6"/>
      <c r="B6" s="716" t="s">
        <v>95</v>
      </c>
      <c r="C6" s="717" t="s">
        <v>2142</v>
      </c>
      <c r="D6" s="717"/>
      <c r="E6" s="715"/>
      <c r="F6" s="6"/>
      <c r="N6" s="8"/>
      <c r="O6" s="8"/>
      <c r="P6" s="8"/>
    </row>
    <row r="7" spans="1:16" ht="9" customHeight="1" thickBot="1">
      <c r="A7" s="6"/>
      <c r="B7" s="43"/>
      <c r="C7" s="43"/>
      <c r="D7" s="43"/>
      <c r="E7" s="43"/>
      <c r="F7" s="6"/>
      <c r="N7" s="8"/>
      <c r="O7" s="8"/>
      <c r="P7" s="8"/>
    </row>
    <row r="8" spans="1:16" ht="17.25" customHeight="1">
      <c r="A8" s="6"/>
      <c r="B8" s="828" t="s">
        <v>472</v>
      </c>
      <c r="C8" s="829"/>
      <c r="D8" s="829"/>
      <c r="E8" s="830"/>
      <c r="F8" s="6"/>
      <c r="H8" t="s">
        <v>196</v>
      </c>
      <c r="N8" s="8"/>
      <c r="O8" s="284" t="s">
        <v>484</v>
      </c>
      <c r="P8" s="8" t="s">
        <v>1908</v>
      </c>
    </row>
    <row r="9" spans="1:16" ht="17.25" customHeight="1">
      <c r="A9" s="6"/>
      <c r="B9" s="88" t="s">
        <v>56</v>
      </c>
      <c r="C9" s="89"/>
      <c r="D9" s="90"/>
      <c r="E9" s="90"/>
      <c r="F9" s="43"/>
      <c r="H9" t="s">
        <v>816</v>
      </c>
      <c r="I9" t="s">
        <v>69</v>
      </c>
      <c r="J9" s="2488" t="s">
        <v>70</v>
      </c>
      <c r="N9" s="2327" t="s">
        <v>1907</v>
      </c>
      <c r="O9" s="1116">
        <v>1</v>
      </c>
      <c r="P9" s="352"/>
    </row>
    <row r="10" spans="1:16" ht="15.6" customHeight="1">
      <c r="A10" s="6"/>
      <c r="B10" s="804" t="s">
        <v>71</v>
      </c>
      <c r="C10" s="1" t="s">
        <v>2181</v>
      </c>
      <c r="D10" s="10"/>
      <c r="E10" s="97"/>
      <c r="F10" s="92"/>
      <c r="H10" t="s">
        <v>498</v>
      </c>
      <c r="I10" s="826" t="s">
        <v>499</v>
      </c>
      <c r="J10" s="826"/>
      <c r="K10" t="s">
        <v>73</v>
      </c>
      <c r="O10"/>
      <c r="P10" s="352"/>
    </row>
    <row r="11" spans="1:16" ht="15.6" hidden="1" customHeight="1">
      <c r="A11" s="6"/>
      <c r="B11" s="2466" t="s">
        <v>497</v>
      </c>
      <c r="C11" s="1" t="str">
        <f>I10</f>
        <v>戸建住宅</v>
      </c>
      <c r="D11" s="10"/>
      <c r="E11" s="97"/>
      <c r="F11" s="92"/>
      <c r="G11" s="2366" t="s">
        <v>2109</v>
      </c>
      <c r="I11" s="826" t="s">
        <v>1925</v>
      </c>
      <c r="J11" s="826"/>
      <c r="K11" t="s">
        <v>1</v>
      </c>
      <c r="N11" s="2488" t="s">
        <v>1906</v>
      </c>
      <c r="O11"/>
      <c r="P11" s="352"/>
    </row>
    <row r="12" spans="1:16" ht="15.6" customHeight="1">
      <c r="A12" s="6"/>
      <c r="B12" s="805" t="s">
        <v>113</v>
      </c>
      <c r="C12" s="710">
        <v>46023</v>
      </c>
      <c r="D12" s="10"/>
      <c r="E12" s="796" t="s">
        <v>110</v>
      </c>
      <c r="F12" s="94"/>
      <c r="I12" s="826" t="s">
        <v>1885</v>
      </c>
      <c r="J12" s="826"/>
      <c r="K12" t="s">
        <v>73</v>
      </c>
      <c r="N12" s="2488" t="s">
        <v>72</v>
      </c>
      <c r="O12"/>
    </row>
    <row r="13" spans="1:16" ht="15.6" customHeight="1">
      <c r="A13" s="6"/>
      <c r="B13" s="805" t="s">
        <v>495</v>
      </c>
      <c r="C13" s="2807"/>
      <c r="D13" s="2808"/>
      <c r="E13" s="2817" t="s">
        <v>312</v>
      </c>
      <c r="F13" s="95"/>
      <c r="I13" s="826" t="s">
        <v>1886</v>
      </c>
      <c r="J13" s="826"/>
      <c r="K13" t="s">
        <v>73</v>
      </c>
      <c r="N13" s="2488" t="s">
        <v>74</v>
      </c>
      <c r="O13"/>
    </row>
    <row r="14" spans="1:16" s="8" customFormat="1" ht="15.6" customHeight="1">
      <c r="A14" s="6"/>
      <c r="B14" s="805" t="s">
        <v>304</v>
      </c>
      <c r="C14" s="2809"/>
      <c r="D14" s="2810"/>
      <c r="E14" s="2819"/>
      <c r="F14" s="96"/>
      <c r="G14"/>
      <c r="H14"/>
      <c r="I14" s="826"/>
      <c r="J14" s="826"/>
      <c r="K14" t="s">
        <v>73</v>
      </c>
      <c r="L14"/>
      <c r="M14"/>
      <c r="N14" s="2488" t="s">
        <v>75</v>
      </c>
      <c r="O14"/>
      <c r="P14"/>
    </row>
    <row r="15" spans="1:16" ht="15.6" customHeight="1">
      <c r="A15" s="6"/>
      <c r="B15" s="805" t="s">
        <v>305</v>
      </c>
      <c r="C15" s="711">
        <v>3</v>
      </c>
      <c r="D15" s="10" t="s">
        <v>634</v>
      </c>
      <c r="E15" s="2819"/>
      <c r="F15" s="96"/>
      <c r="H15" s="2488" t="s">
        <v>0</v>
      </c>
      <c r="I15" s="826"/>
      <c r="J15" s="826"/>
      <c r="K15" t="s">
        <v>1</v>
      </c>
      <c r="N15" s="2488" t="s">
        <v>61</v>
      </c>
      <c r="O15"/>
    </row>
    <row r="16" spans="1:16" ht="15.6" hidden="1" customHeight="1">
      <c r="A16" s="6"/>
      <c r="B16" s="2596" t="s">
        <v>496</v>
      </c>
      <c r="C16" s="608"/>
      <c r="D16" s="10"/>
      <c r="E16" s="2818"/>
      <c r="F16" s="96"/>
      <c r="G16" s="2366" t="s">
        <v>2134</v>
      </c>
      <c r="N16" s="2488" t="s">
        <v>867</v>
      </c>
      <c r="O16"/>
    </row>
    <row r="17" spans="1:16" ht="15.6" customHeight="1">
      <c r="A17" s="6"/>
      <c r="B17" s="805" t="s">
        <v>267</v>
      </c>
      <c r="C17" s="1590" t="s">
        <v>1872</v>
      </c>
      <c r="D17" s="1117" t="str">
        <f>IF(C17=I28,J17,"")</f>
        <v/>
      </c>
      <c r="E17" s="796" t="s">
        <v>312</v>
      </c>
      <c r="F17" s="96"/>
      <c r="I17" t="s">
        <v>268</v>
      </c>
      <c r="J17" t="s">
        <v>807</v>
      </c>
      <c r="N17" s="2488" t="s">
        <v>195</v>
      </c>
      <c r="O17"/>
    </row>
    <row r="18" spans="1:16" ht="15.6" customHeight="1">
      <c r="A18" s="6"/>
      <c r="B18" s="805" t="s">
        <v>317</v>
      </c>
      <c r="C18" s="1" t="s">
        <v>2179</v>
      </c>
      <c r="D18" s="10"/>
      <c r="E18" s="2817" t="s">
        <v>312</v>
      </c>
      <c r="F18" s="42"/>
      <c r="I18" s="826" t="str">
        <f>電気排出係数!B10</f>
        <v>北海道電力(株)</v>
      </c>
      <c r="N18" s="2488" t="s">
        <v>59</v>
      </c>
      <c r="O18"/>
    </row>
    <row r="19" spans="1:16" ht="15.6" customHeight="1">
      <c r="A19" s="6"/>
      <c r="B19" s="805" t="s">
        <v>30</v>
      </c>
      <c r="C19" s="1"/>
      <c r="D19" s="10"/>
      <c r="E19" s="2819"/>
      <c r="F19" s="2472"/>
      <c r="G19" s="2366" t="s">
        <v>1902</v>
      </c>
      <c r="I19" s="826" t="str">
        <f>電気排出係数!B11</f>
        <v>東北電力(株)</v>
      </c>
      <c r="N19" s="2488" t="s">
        <v>62</v>
      </c>
      <c r="O19"/>
      <c r="P19" s="352"/>
    </row>
    <row r="20" spans="1:16" ht="15.6" hidden="1" customHeight="1">
      <c r="A20" s="6"/>
      <c r="B20" s="2466" t="s">
        <v>1883</v>
      </c>
      <c r="C20" s="1"/>
      <c r="D20" s="2465" t="s">
        <v>1884</v>
      </c>
      <c r="E20" s="2818"/>
      <c r="F20" s="2472"/>
      <c r="G20" s="2366" t="s">
        <v>1903</v>
      </c>
      <c r="I20" s="826" t="str">
        <f>電気排出係数!B12</f>
        <v>東京電力エナジーパートナー(株)</v>
      </c>
      <c r="N20" s="352" t="s">
        <v>63</v>
      </c>
      <c r="O20" s="350">
        <f>SUM(O9:O19)</f>
        <v>1</v>
      </c>
      <c r="P20" s="352"/>
    </row>
    <row r="21" spans="1:16" ht="15.6" customHeight="1">
      <c r="A21" s="6"/>
      <c r="B21" s="805" t="s">
        <v>190</v>
      </c>
      <c r="C21" s="1588"/>
      <c r="D21" s="42" t="s">
        <v>191</v>
      </c>
      <c r="E21" s="796" t="s">
        <v>312</v>
      </c>
      <c r="F21" s="43"/>
      <c r="G21" s="2366"/>
      <c r="I21" s="826" t="str">
        <f>電気排出係数!B13</f>
        <v>中部電力ミライズ(株)</v>
      </c>
    </row>
    <row r="22" spans="1:16" ht="15.6" customHeight="1">
      <c r="A22" s="6"/>
      <c r="B22" s="805" t="s">
        <v>57</v>
      </c>
      <c r="C22" s="1588"/>
      <c r="D22" s="42" t="s">
        <v>58</v>
      </c>
      <c r="E22" s="2817" t="s">
        <v>312</v>
      </c>
      <c r="F22" s="98"/>
      <c r="I22" s="826" t="str">
        <f>電気排出係数!B14</f>
        <v>北陸電力(株)</v>
      </c>
      <c r="N22" s="353"/>
      <c r="P22" s="353"/>
    </row>
    <row r="23" spans="1:16" ht="13.2">
      <c r="A23" s="6"/>
      <c r="B23" s="805" t="s">
        <v>60</v>
      </c>
      <c r="C23" s="1588">
        <v>120.8</v>
      </c>
      <c r="D23" s="42" t="s">
        <v>191</v>
      </c>
      <c r="E23" s="2818"/>
      <c r="F23" s="99"/>
      <c r="G23" s="2366"/>
      <c r="I23" s="826" t="str">
        <f>電気排出係数!B15</f>
        <v>関西電力(株) (旧：(株)Ｋｅｎｅｓエネルギーサービス)</v>
      </c>
      <c r="N23" s="609"/>
      <c r="O23" s="358" t="s">
        <v>109</v>
      </c>
      <c r="P23" s="353"/>
    </row>
    <row r="24" spans="1:16" ht="13.8" thickBot="1">
      <c r="A24" s="6"/>
      <c r="B24" s="2596" t="s">
        <v>306</v>
      </c>
      <c r="C24" s="18"/>
      <c r="D24" s="10"/>
      <c r="E24" s="796" t="s">
        <v>310</v>
      </c>
      <c r="F24" s="100"/>
      <c r="G24" s="2366" t="s">
        <v>2134</v>
      </c>
      <c r="I24" s="826" t="str">
        <f>電気排出係数!B16</f>
        <v>中国電力(株)</v>
      </c>
      <c r="N24" s="609"/>
      <c r="O24" s="358" t="s">
        <v>110</v>
      </c>
      <c r="P24" s="353"/>
    </row>
    <row r="25" spans="1:16" ht="13.8" thickBot="1">
      <c r="A25" s="6"/>
      <c r="B25" s="104" t="s">
        <v>823</v>
      </c>
      <c r="C25" s="105"/>
      <c r="D25" s="105"/>
      <c r="E25" s="106"/>
      <c r="F25" s="101"/>
      <c r="I25" s="826" t="str">
        <f>電気排出係数!B17</f>
        <v>四国電力(株)</v>
      </c>
      <c r="N25" s="609"/>
      <c r="O25" s="358" t="s">
        <v>111</v>
      </c>
      <c r="P25" s="353"/>
    </row>
    <row r="26" spans="1:16" s="12" customFormat="1" ht="18" customHeight="1">
      <c r="A26" s="6"/>
      <c r="B26" s="805" t="s">
        <v>228</v>
      </c>
      <c r="C26" s="709" t="s">
        <v>311</v>
      </c>
      <c r="D26" s="10"/>
      <c r="E26" s="93"/>
      <c r="F26" s="101"/>
      <c r="G26" s="2366" t="s">
        <v>2136</v>
      </c>
      <c r="I26" s="826" t="str">
        <f>電気排出係数!B18</f>
        <v>九州電力(株)</v>
      </c>
      <c r="J26"/>
      <c r="K26"/>
      <c r="L26"/>
      <c r="M26"/>
      <c r="N26" s="354"/>
      <c r="O26" s="358" t="s">
        <v>310</v>
      </c>
      <c r="P26" s="354"/>
    </row>
    <row r="27" spans="1:16" s="12" customFormat="1" ht="17.25" customHeight="1">
      <c r="A27" s="11"/>
      <c r="B27" s="2596" t="s">
        <v>307</v>
      </c>
      <c r="C27" s="709" t="s">
        <v>310</v>
      </c>
      <c r="D27" s="10"/>
      <c r="E27" s="93"/>
      <c r="F27" s="107"/>
      <c r="G27" s="2366" t="s">
        <v>2134</v>
      </c>
      <c r="I27" s="826" t="str">
        <f>電気排出係数!B19</f>
        <v>沖縄電力(株)</v>
      </c>
      <c r="J27"/>
      <c r="K27"/>
      <c r="L27"/>
      <c r="M27"/>
      <c r="N27" s="355"/>
      <c r="O27" s="358" t="s">
        <v>311</v>
      </c>
      <c r="P27" s="355"/>
    </row>
    <row r="28" spans="1:16" ht="17.25" customHeight="1">
      <c r="A28" s="11"/>
      <c r="B28" s="805" t="s">
        <v>229</v>
      </c>
      <c r="C28" s="709" t="s">
        <v>310</v>
      </c>
      <c r="D28" s="10"/>
      <c r="E28" s="93"/>
      <c r="F28" s="107"/>
      <c r="I28" s="826" t="s">
        <v>835</v>
      </c>
      <c r="N28" s="355"/>
      <c r="O28" s="358" t="s">
        <v>312</v>
      </c>
      <c r="P28" s="355"/>
    </row>
    <row r="29" spans="1:16" ht="17.25" customHeight="1">
      <c r="A29" s="11"/>
      <c r="B29" s="805" t="s">
        <v>309</v>
      </c>
      <c r="C29" s="2811"/>
      <c r="D29" s="2812"/>
      <c r="E29" s="2813"/>
      <c r="F29" s="107"/>
      <c r="N29" s="355"/>
      <c r="O29" s="358" t="s">
        <v>310</v>
      </c>
      <c r="P29" s="355"/>
    </row>
    <row r="30" spans="1:16" ht="17.25" customHeight="1" thickBot="1">
      <c r="A30" s="10"/>
      <c r="B30" s="806"/>
      <c r="C30" s="2814"/>
      <c r="D30" s="2815"/>
      <c r="E30" s="2816"/>
      <c r="F30" s="43"/>
      <c r="N30" s="356"/>
      <c r="O30" s="358" t="s">
        <v>312</v>
      </c>
      <c r="P30" s="356"/>
    </row>
    <row r="31" spans="1:16" ht="17.25" customHeight="1" thickBot="1">
      <c r="A31" s="10"/>
      <c r="B31" s="104" t="s">
        <v>212</v>
      </c>
      <c r="C31" s="712"/>
      <c r="D31" s="712"/>
      <c r="E31" s="91"/>
      <c r="F31" s="43"/>
      <c r="N31" s="356"/>
      <c r="O31" s="8"/>
      <c r="P31" s="356"/>
    </row>
    <row r="32" spans="1:16" ht="17.25" customHeight="1">
      <c r="A32" s="10"/>
      <c r="B32" s="108" t="s">
        <v>731</v>
      </c>
      <c r="C32" s="17"/>
      <c r="D32" s="10"/>
      <c r="E32" s="109"/>
      <c r="F32" s="43"/>
      <c r="N32" s="357"/>
      <c r="O32" s="8" t="s">
        <v>858</v>
      </c>
      <c r="P32" s="357"/>
    </row>
    <row r="33" spans="1:19" ht="17.25" customHeight="1">
      <c r="A33" s="10"/>
      <c r="B33" s="108" t="s">
        <v>857</v>
      </c>
      <c r="C33" s="1" t="s">
        <v>2180</v>
      </c>
      <c r="D33" s="10"/>
      <c r="E33" s="109"/>
      <c r="F33" s="103"/>
      <c r="N33" s="357"/>
      <c r="O33" s="8" t="s">
        <v>859</v>
      </c>
      <c r="P33" s="357"/>
    </row>
    <row r="34" spans="1:19" s="8" customFormat="1" ht="17.25" customHeight="1">
      <c r="A34" s="10"/>
      <c r="B34" s="108" t="s">
        <v>31</v>
      </c>
      <c r="C34" s="17"/>
      <c r="D34" s="10"/>
      <c r="E34" s="109"/>
      <c r="F34" s="103"/>
      <c r="G34"/>
      <c r="H34" s="826" t="s">
        <v>269</v>
      </c>
      <c r="I34" s="826" t="s">
        <v>1881</v>
      </c>
      <c r="J34"/>
      <c r="K34"/>
      <c r="L34"/>
      <c r="M34"/>
      <c r="N34" s="357"/>
      <c r="O34" s="8" t="s">
        <v>485</v>
      </c>
      <c r="P34" s="357"/>
    </row>
    <row r="35" spans="1:19" s="8" customFormat="1" ht="17.25" customHeight="1">
      <c r="A35" s="10"/>
      <c r="B35" s="1092" t="s">
        <v>32</v>
      </c>
      <c r="C35" s="1"/>
      <c r="D35" s="10"/>
      <c r="E35" s="109"/>
      <c r="F35" s="103"/>
      <c r="G35"/>
      <c r="H35" s="826" t="s">
        <v>270</v>
      </c>
      <c r="I35" s="826" t="s">
        <v>1882</v>
      </c>
      <c r="J35"/>
      <c r="K35"/>
      <c r="L35"/>
      <c r="M35"/>
      <c r="N35" s="357"/>
      <c r="O35" s="901"/>
      <c r="P35" s="357"/>
    </row>
    <row r="36" spans="1:19" s="8" customFormat="1" ht="17.25" customHeight="1" thickBot="1">
      <c r="A36" s="10"/>
      <c r="B36" s="1109" t="s">
        <v>263</v>
      </c>
      <c r="C36" s="1113" t="s">
        <v>2144</v>
      </c>
      <c r="D36" s="1091" t="str">
        <f>IF(C36=H36,"",I37)</f>
        <v/>
      </c>
      <c r="E36" s="110"/>
      <c r="F36" s="103"/>
      <c r="G36"/>
      <c r="H36" s="826" t="str">
        <f>IF($C$11=$I$10,H34,I34)</f>
        <v>戸建標準計算</v>
      </c>
      <c r="K36"/>
      <c r="L36"/>
      <c r="M36"/>
      <c r="N36" s="357"/>
    </row>
    <row r="37" spans="1:19" s="8" customFormat="1" ht="9.75" customHeight="1" thickBot="1">
      <c r="A37" s="10"/>
      <c r="B37" s="6"/>
      <c r="C37" s="6"/>
      <c r="D37" s="6"/>
      <c r="E37" s="6"/>
      <c r="F37" s="10"/>
      <c r="G37"/>
      <c r="H37" s="826" t="str">
        <f>IF($C$11=$I$10,H35,I35)</f>
        <v>戸建独自計算</v>
      </c>
      <c r="I37" t="s">
        <v>274</v>
      </c>
      <c r="L37"/>
      <c r="M37"/>
    </row>
    <row r="38" spans="1:19" ht="13.8" thickBot="1">
      <c r="A38" s="6"/>
      <c r="B38" s="789" t="s">
        <v>213</v>
      </c>
      <c r="C38" s="790"/>
      <c r="D38" s="790"/>
      <c r="E38" s="791"/>
      <c r="F38" s="6"/>
    </row>
    <row r="39" spans="1:19" ht="13.8" thickBot="1">
      <c r="A39" s="6"/>
      <c r="B39" s="102" t="s">
        <v>367</v>
      </c>
      <c r="C39" s="1111" t="s">
        <v>363</v>
      </c>
      <c r="D39" s="1133" t="s">
        <v>412</v>
      </c>
      <c r="E39" s="1112" t="s">
        <v>364</v>
      </c>
      <c r="F39" s="6"/>
    </row>
    <row r="40" spans="1:19" ht="13.8" thickBot="1">
      <c r="A40" s="6"/>
      <c r="B40" s="102"/>
      <c r="C40" s="815" t="s">
        <v>365</v>
      </c>
      <c r="D40" s="1107" t="s">
        <v>366</v>
      </c>
      <c r="E40" s="2454" t="s">
        <v>2128</v>
      </c>
      <c r="F40" s="6"/>
    </row>
    <row r="41" spans="1:19" ht="13.2" hidden="1">
      <c r="A41" s="6"/>
      <c r="B41" s="2594"/>
      <c r="C41" s="2597" t="s">
        <v>2135</v>
      </c>
      <c r="D41" s="1107"/>
      <c r="E41" s="2454"/>
      <c r="F41" s="6"/>
      <c r="G41" s="2366" t="s">
        <v>2133</v>
      </c>
    </row>
    <row r="42" spans="1:19" ht="13.2">
      <c r="A42" s="6"/>
      <c r="B42" s="1105"/>
      <c r="C42" s="815" t="s">
        <v>308</v>
      </c>
      <c r="D42" s="1107" t="s">
        <v>411</v>
      </c>
      <c r="E42" s="2601" t="str">
        <f>IF(C11=I10,H42,"")</f>
        <v>●建築環境SDGs</v>
      </c>
      <c r="F42" s="1108"/>
      <c r="H42" t="s">
        <v>2127</v>
      </c>
      <c r="N42" s="317"/>
      <c r="O42" s="317"/>
      <c r="P42" s="317"/>
      <c r="Q42" s="317"/>
      <c r="R42" s="317"/>
      <c r="S42" s="317"/>
    </row>
    <row r="43" spans="1:19" ht="13.2">
      <c r="A43" s="6"/>
      <c r="B43" s="1106" t="s">
        <v>370</v>
      </c>
      <c r="C43" s="2455" t="s">
        <v>2131</v>
      </c>
      <c r="D43" s="2456" t="s">
        <v>2132</v>
      </c>
      <c r="E43" s="2454"/>
      <c r="F43" s="6"/>
    </row>
    <row r="44" spans="1:19" ht="13.2">
      <c r="A44" s="6"/>
      <c r="B44" s="1106" t="s">
        <v>81</v>
      </c>
      <c r="C44" s="2455" t="s">
        <v>1847</v>
      </c>
      <c r="D44" s="2600" t="str">
        <f>IF(C11=I10,H44,"")</f>
        <v>●結果(SDGs)</v>
      </c>
      <c r="E44" s="2454"/>
      <c r="F44" s="6"/>
      <c r="H44" t="s">
        <v>2129</v>
      </c>
    </row>
    <row r="45" spans="1:19" ht="13.8" thickBot="1">
      <c r="A45" s="6"/>
      <c r="B45" s="102" t="s">
        <v>368</v>
      </c>
      <c r="C45" s="824" t="s">
        <v>369</v>
      </c>
      <c r="D45" s="2595" t="s">
        <v>2130</v>
      </c>
      <c r="E45" s="1134" t="s">
        <v>413</v>
      </c>
      <c r="F45" s="6"/>
    </row>
    <row r="46" spans="1:19" ht="13.2">
      <c r="A46" s="6"/>
      <c r="B46" s="6"/>
      <c r="C46" s="6"/>
      <c r="D46" s="6"/>
      <c r="E46" s="6"/>
      <c r="F46" s="6"/>
    </row>
    <row r="47" spans="1:19" ht="13.2"/>
    <row r="48" spans="1:19" ht="13.2"/>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row r="69" ht="13.2"/>
    <row r="70" ht="13.2"/>
    <row r="71" ht="13.2"/>
    <row r="72" ht="13.2"/>
    <row r="73" ht="13.2"/>
    <row r="74" ht="13.2"/>
    <row r="75" ht="13.2"/>
    <row r="76" ht="13.2"/>
    <row r="77" ht="13.2"/>
    <row r="78" ht="13.2"/>
    <row r="79" ht="13.2"/>
    <row r="80" ht="13.2"/>
    <row r="81" ht="13.2"/>
    <row r="82" ht="13.2"/>
  </sheetData>
  <sheetProtection algorithmName="SHA-512" hashValue="Wg4CzaZDJl4BeTdXz00IZFpd6i1CbY65GoW7LCoJKeaIQrLdqrAdepKidKtj4H4Uq+V0j5MrI2jb0aoESYqGUA==" saltValue="4ThUxtwk5jRPU8FWkCo5+w==" spinCount="100000" sheet="1" objects="1" scenarios="1"/>
  <mergeCells count="6">
    <mergeCell ref="C13:D13"/>
    <mergeCell ref="C14:D14"/>
    <mergeCell ref="C29:E30"/>
    <mergeCell ref="E22:E23"/>
    <mergeCell ref="E13:E16"/>
    <mergeCell ref="E18:E20"/>
  </mergeCells>
  <phoneticPr fontId="4"/>
  <conditionalFormatting sqref="C10:C24">
    <cfRule type="cellIs" dxfId="169" priority="5" stopIfTrue="1" operator="equal">
      <formula>0</formula>
    </cfRule>
  </conditionalFormatting>
  <conditionalFormatting sqref="C26:C29">
    <cfRule type="cellIs" dxfId="168" priority="2" stopIfTrue="1" operator="equal">
      <formula>0</formula>
    </cfRule>
  </conditionalFormatting>
  <conditionalFormatting sqref="C32:C35">
    <cfRule type="cellIs" dxfId="167" priority="12" stopIfTrue="1" operator="equal">
      <formula>0</formula>
    </cfRule>
  </conditionalFormatting>
  <conditionalFormatting sqref="E12:E13 E17:E18 E21:E22 E24">
    <cfRule type="cellIs" dxfId="166" priority="15" stopIfTrue="1" operator="equal">
      <formula>0</formula>
    </cfRule>
  </conditionalFormatting>
  <dataValidations count="7">
    <dataValidation type="list" allowBlank="1" showInputMessage="1" showErrorMessage="1" sqref="E12" xr:uid="{00000000-0002-0000-0300-000001000000}">
      <formula1>$O$24:$O$25</formula1>
    </dataValidation>
    <dataValidation type="list" allowBlank="1" showInputMessage="1" showErrorMessage="1" sqref="C15" xr:uid="{00000000-0002-0000-0300-000002000000}">
      <formula1>"1,2,3,4,5,6,7,8"</formula1>
    </dataValidation>
    <dataValidation type="list" allowBlank="1" showInputMessage="1" showErrorMessage="1" sqref="C16" xr:uid="{00000000-0002-0000-0300-000003000000}">
      <formula1>"い,ろ,は"</formula1>
    </dataValidation>
    <dataValidation type="list" allowBlank="1" showInputMessage="1" showErrorMessage="1" sqref="C26:C28" xr:uid="{00000000-0002-0000-0300-000004000000}">
      <formula1>$O$26:$O$28</formula1>
    </dataValidation>
    <dataValidation type="list" allowBlank="1" showInputMessage="1" showErrorMessage="1" sqref="E13:E18 E21:E24" xr:uid="{00000000-0002-0000-0300-000005000000}">
      <formula1>$O$29:$O$30</formula1>
    </dataValidation>
    <dataValidation type="list" allowBlank="1" showInputMessage="1" showErrorMessage="1" sqref="C36" xr:uid="{00000000-0002-0000-0300-000006000000}">
      <formula1>$H$36:$H$37</formula1>
    </dataValidation>
    <dataValidation type="list" allowBlank="1" showInputMessage="1" showErrorMessage="1" sqref="C17" xr:uid="{00000000-0002-0000-0300-000007000000}">
      <formula1>$I$18:$I$28</formula1>
    </dataValidation>
  </dataValidations>
  <hyperlinks>
    <hyperlink ref="C45" location="重み!Print_Titles" tooltip="[重み]シート" display="●重み" xr:uid="{00000000-0004-0000-0300-000000000000}"/>
    <hyperlink ref="C44" location="'結果（2-3レーダー）'!A1" tooltip="[結果]シート" display="●結果（レーダー）" xr:uid="{00000000-0004-0000-0300-000001000000}"/>
    <hyperlink ref="C42" location="配慮!A1" tooltip="[配慮]シート" display="●配慮" xr:uid="{00000000-0004-0000-0300-000002000000}"/>
    <hyperlink ref="C40" location="採点LR1!A1" tooltip="[採点LR1]シート" display="●採点ＬＲ１" xr:uid="{00000000-0004-0000-0300-000003000000}"/>
    <hyperlink ref="D40" location="採点LR2!A1" tooltip="[採点LR2]シート" display="●採点ＬＲ２" xr:uid="{00000000-0004-0000-0300-000004000000}"/>
    <hyperlink ref="D45" location="CO2データ!A1" tooltip="[CO2データ]シート" display="●CO2データ" xr:uid="{00000000-0004-0000-0300-000008000000}"/>
    <hyperlink ref="D42" location="CO2独自計算!A1" tooltip="[CO2独自計算]シート" display="●CO2独自計算" xr:uid="{00000000-0004-0000-0300-000009000000}"/>
    <hyperlink ref="C39" location="採点Q1!A1" tooltip="[採点Q1]シート" display="●採点Ｑ１" xr:uid="{00000000-0004-0000-0300-00000A000000}"/>
    <hyperlink ref="D39" location="採点Q2!A1" tooltip="[採点Q2]シート" display="●採点Ｑ２" xr:uid="{00000000-0004-0000-0300-00000B000000}"/>
    <hyperlink ref="E39" location="採点Q3!A1" tooltip="[採点Q3]シート" display="●採点Ｑ３" xr:uid="{00000000-0004-0000-0300-00000C000000}"/>
    <hyperlink ref="E45" location="電気排出係数!A1" tooltip="[電気排出係数]シート" display="●電気排出係数" xr:uid="{00000000-0004-0000-0300-00000D000000}"/>
    <hyperlink ref="E40" location="採点LR3!A1" tooltip="[採点LR3]シート" display="●採点ＬＲ３" xr:uid="{00000000-0004-0000-0300-000005000000}"/>
    <hyperlink ref="E42" location="建築環境SDGs!A1" tooltip="[建築環境SDGs]シート" display="●建築環境SDGs" xr:uid="{EB268747-CD55-41FE-A18C-7654DAEA14A3}"/>
    <hyperlink ref="D44" location="'結果 (2-3SDGs)'!A1" tooltip="[結果SDGs]シート" display="●結果(SDGs)" xr:uid="{4646946E-9DC5-493E-AF15-25D4B4E5E1B2}"/>
    <hyperlink ref="D43" location="CO2計算!A1" tooltip="[CO2計算]シート" display="●CO2計算" xr:uid="{00000000-0004-0000-0300-000007000000}"/>
    <hyperlink ref="C43" location="スコア!A1" tooltip="[スコア]シート" display="●スコア" xr:uid="{00000000-0004-0000-0300-000006000000}"/>
    <hyperlink ref="C41" location="計画書!A1" tooltip="[計画書]シート" display="●計画書" xr:uid="{5F717872-31D6-45CC-9D35-C9ED223C4776}"/>
    <hyperlink ref="H42" location="建築環境SDGs!A1" tooltip="[建築環境SDGs]シート" display="●建築環境SDGs" xr:uid="{4C7AEC2B-DA07-4AE3-8DB5-F6CC1032767D}"/>
    <hyperlink ref="H44" location="'結果 (2-3SDGs)'!A1" tooltip="[結果SDGs]シート" display="●結果(SDGs)" xr:uid="{7A563039-F2FA-4837-B762-692466FEBC3A}"/>
  </hyperlinks>
  <printOptions horizontalCentered="1"/>
  <pageMargins left="1.1811023622047245" right="0.98425196850393704" top="0.78740157480314965" bottom="0.78740157480314965" header="0.51181102362204722" footer="0.51181102362204722"/>
  <pageSetup paperSize="9" scale="92" orientation="portrait" verticalDpi="4294967293" r:id="rId1"/>
  <headerFooter alignWithMargins="0">
    <oddHeader>&amp;L&amp;F&amp;R&amp;A</oddHeader>
    <oddFooter>&amp;C&amp;P/&amp;N</oddFooter>
  </headerFooter>
  <colBreaks count="1" manualBreakCount="1">
    <brk id="13" max="1048575" man="1"/>
  </colBreaks>
  <cellWatches>
    <cellWatch r="C44"/>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J77"/>
  <sheetViews>
    <sheetView showGridLines="0" topLeftCell="A22" zoomScaleNormal="100" workbookViewId="0">
      <selection activeCell="H21" sqref="H21"/>
    </sheetView>
  </sheetViews>
  <sheetFormatPr defaultColWidth="0" defaultRowHeight="0" customHeight="1" zeroHeight="1"/>
  <cols>
    <col min="1" max="1" width="0.77734375" style="308" customWidth="1"/>
    <col min="2" max="2" width="2.109375" style="383" customWidth="1"/>
    <col min="3" max="3" width="13.33203125" style="383" customWidth="1"/>
    <col min="4" max="4" width="5.33203125" style="384" customWidth="1"/>
    <col min="5" max="5" width="6.77734375" style="385" customWidth="1"/>
    <col min="6" max="6" width="8.21875" style="380" customWidth="1"/>
    <col min="7" max="7" width="8.33203125" style="380" customWidth="1"/>
    <col min="8" max="8" width="9.6640625" style="380" customWidth="1"/>
    <col min="9" max="9" width="6.109375" style="381" customWidth="1"/>
    <col min="10" max="10" width="13.88671875" style="381" customWidth="1"/>
    <col min="11" max="11" width="14.44140625" style="380" customWidth="1"/>
    <col min="12" max="12" width="10.77734375" style="380" customWidth="1"/>
    <col min="13" max="15" width="10.77734375" style="314" customWidth="1"/>
    <col min="16" max="16" width="1.33203125" style="308" customWidth="1"/>
    <col min="17" max="17" width="3.33203125" style="308" customWidth="1"/>
    <col min="18" max="18" width="15.88671875" style="289" hidden="1" customWidth="1"/>
    <col min="19" max="19" width="15.88671875" style="290" hidden="1" customWidth="1"/>
    <col min="20" max="26" width="15.88671875" style="289" hidden="1" customWidth="1"/>
    <col min="27" max="36" width="3.33203125" style="289" hidden="1" customWidth="1"/>
    <col min="37" max="16384" width="1.21875" style="289" hidden="1"/>
  </cols>
  <sheetData>
    <row r="1" spans="1:28" s="287" customFormat="1" ht="6" customHeight="1" thickBot="1">
      <c r="A1" s="364"/>
      <c r="B1" s="365"/>
      <c r="C1" s="366"/>
      <c r="D1" s="367"/>
      <c r="E1" s="364"/>
      <c r="F1" s="267"/>
      <c r="G1" s="267"/>
      <c r="H1" s="267"/>
      <c r="I1" s="336"/>
      <c r="J1" s="336"/>
      <c r="K1" s="267"/>
      <c r="L1" s="368"/>
      <c r="M1" s="364"/>
      <c r="N1" s="364"/>
      <c r="O1" s="364"/>
      <c r="P1" s="364"/>
      <c r="Q1" s="369"/>
      <c r="S1" s="288"/>
    </row>
    <row r="2" spans="1:28" ht="15.75" customHeight="1" thickTop="1">
      <c r="A2" s="59"/>
      <c r="B2" s="623"/>
      <c r="C2" s="624"/>
      <c r="D2" s="48"/>
      <c r="E2" s="49"/>
      <c r="F2" s="289"/>
      <c r="G2" s="289"/>
      <c r="H2" s="289"/>
      <c r="I2" s="621"/>
      <c r="J2" s="621"/>
      <c r="K2" s="621"/>
      <c r="L2" s="621"/>
      <c r="M2" s="621"/>
      <c r="N2" s="289"/>
      <c r="O2" s="29"/>
      <c r="P2" s="59"/>
      <c r="Q2" s="2867" t="s">
        <v>67</v>
      </c>
      <c r="S2" s="289"/>
    </row>
    <row r="3" spans="1:28" ht="30" customHeight="1">
      <c r="A3" s="59"/>
      <c r="B3" s="620"/>
      <c r="C3" s="620"/>
      <c r="D3" s="620"/>
      <c r="E3" s="620"/>
      <c r="F3" s="289"/>
      <c r="G3" s="289"/>
      <c r="H3" s="289"/>
      <c r="I3" s="621"/>
      <c r="J3" s="621"/>
      <c r="K3" s="621"/>
      <c r="L3" s="621"/>
      <c r="M3" s="621"/>
      <c r="N3" s="289"/>
      <c r="O3" s="289"/>
      <c r="P3" s="59"/>
      <c r="Q3" s="2868"/>
      <c r="S3" s="289"/>
    </row>
    <row r="4" spans="1:28" ht="12" customHeight="1">
      <c r="A4" s="59"/>
      <c r="B4" s="620"/>
      <c r="C4" s="620"/>
      <c r="D4" s="620"/>
      <c r="E4" s="620"/>
      <c r="F4" s="289"/>
      <c r="G4" s="289"/>
      <c r="H4" s="289"/>
      <c r="I4" s="621"/>
      <c r="J4" s="621"/>
      <c r="K4" s="621"/>
      <c r="L4" s="621"/>
      <c r="M4" s="621"/>
      <c r="N4" s="289"/>
      <c r="O4" s="19"/>
      <c r="P4" s="59"/>
      <c r="Q4" s="2868"/>
      <c r="S4" s="289"/>
    </row>
    <row r="5" spans="1:28" ht="13.5" customHeight="1" thickBot="1">
      <c r="A5" s="59"/>
      <c r="B5" s="625"/>
      <c r="C5" s="47"/>
      <c r="D5" s="48"/>
      <c r="E5" s="49"/>
      <c r="F5" s="289"/>
      <c r="G5" s="883" t="s">
        <v>942</v>
      </c>
      <c r="H5" s="1324"/>
      <c r="I5" s="1324"/>
      <c r="J5" s="289"/>
      <c r="K5" s="2483" t="str">
        <f>メイン!C6</f>
        <v>CASBEE-戸建（新築）2025年版</v>
      </c>
      <c r="L5" s="21" t="s">
        <v>1066</v>
      </c>
      <c r="M5" s="730"/>
      <c r="N5" s="289"/>
      <c r="O5" s="2482" t="str">
        <f>メイン!C5</f>
        <v>CASBEE-DH_NC_2025v1.0</v>
      </c>
      <c r="P5" s="59"/>
      <c r="Q5" s="2869"/>
      <c r="S5" s="289"/>
    </row>
    <row r="6" spans="1:28" ht="3" customHeight="1" thickTop="1" thickBot="1">
      <c r="A6" s="59"/>
      <c r="B6" s="52"/>
      <c r="C6" s="52"/>
      <c r="D6" s="53"/>
      <c r="E6" s="54"/>
      <c r="F6" s="54"/>
      <c r="G6" s="54"/>
      <c r="H6" s="54"/>
      <c r="I6" s="54"/>
      <c r="J6" s="54"/>
      <c r="K6" s="54"/>
      <c r="L6" s="54"/>
      <c r="M6" s="54"/>
      <c r="N6" s="54"/>
      <c r="O6" s="54"/>
      <c r="P6" s="59"/>
      <c r="S6" s="289"/>
    </row>
    <row r="7" spans="1:28" ht="19.5" customHeight="1" thickBot="1">
      <c r="A7" s="59"/>
      <c r="B7" s="679" t="s">
        <v>221</v>
      </c>
      <c r="C7" s="678"/>
      <c r="D7" s="680"/>
      <c r="E7" s="678"/>
      <c r="F7" s="678"/>
      <c r="G7" s="678"/>
      <c r="H7" s="678"/>
      <c r="I7" s="678"/>
      <c r="J7" s="678"/>
      <c r="K7" s="678"/>
      <c r="L7" s="707" t="s">
        <v>301</v>
      </c>
      <c r="M7" s="291"/>
      <c r="N7" s="291"/>
      <c r="O7" s="292"/>
      <c r="P7" s="59"/>
      <c r="R7" s="754" t="s">
        <v>123</v>
      </c>
      <c r="S7" s="308"/>
      <c r="T7" s="308"/>
      <c r="U7" s="754" t="s">
        <v>114</v>
      </c>
      <c r="AB7" s="308"/>
    </row>
    <row r="8" spans="1:28" ht="15.75" customHeight="1">
      <c r="A8" s="59"/>
      <c r="B8" s="690" t="s">
        <v>183</v>
      </c>
      <c r="C8" s="691"/>
      <c r="D8" s="2864" t="str">
        <f>メイン!C10</f>
        <v>あおもりGX</v>
      </c>
      <c r="E8" s="2865"/>
      <c r="F8" s="2866"/>
      <c r="G8" s="797" t="str">
        <f>IF(メイン!E10="","",メイン!E10)</f>
        <v/>
      </c>
      <c r="H8" s="687" t="s">
        <v>175</v>
      </c>
      <c r="I8" s="370"/>
      <c r="J8" s="724" t="s">
        <v>232</v>
      </c>
      <c r="K8" s="721" t="str">
        <f>メイン!C26</f>
        <v>一部確定</v>
      </c>
      <c r="L8" s="386"/>
      <c r="M8" s="386"/>
      <c r="N8" s="386"/>
      <c r="O8" s="387"/>
      <c r="P8" s="59"/>
      <c r="R8" s="307" t="s">
        <v>873</v>
      </c>
      <c r="S8" s="307">
        <f>スコア!W8</f>
        <v>4.2097499999999997</v>
      </c>
      <c r="T8" s="308"/>
      <c r="U8" s="304"/>
      <c r="V8" s="306"/>
      <c r="W8" s="741" t="s">
        <v>108</v>
      </c>
      <c r="X8" s="741">
        <v>4</v>
      </c>
      <c r="Y8" s="741">
        <v>2</v>
      </c>
      <c r="Z8" s="307" t="s">
        <v>742</v>
      </c>
      <c r="AA8" s="374" t="s">
        <v>200</v>
      </c>
      <c r="AB8" s="308"/>
    </row>
    <row r="9" spans="1:28" ht="15.75" customHeight="1">
      <c r="A9" s="59"/>
      <c r="B9" s="693" t="s">
        <v>112</v>
      </c>
      <c r="C9" s="694"/>
      <c r="D9" s="2861">
        <f>メイン!C12</f>
        <v>46023</v>
      </c>
      <c r="E9" s="2862"/>
      <c r="F9" s="2863"/>
      <c r="G9" s="2484" t="str">
        <f>メイン!E12</f>
        <v>予定</v>
      </c>
      <c r="H9" s="689"/>
      <c r="I9" s="289"/>
      <c r="J9" s="725" t="s">
        <v>233</v>
      </c>
      <c r="K9" s="722" t="str">
        <f>IF(メイン!C11=メイン!I10,メイン!C27,"―")</f>
        <v>仮</v>
      </c>
      <c r="L9" s="386"/>
      <c r="M9" s="386"/>
      <c r="N9" s="386"/>
      <c r="O9" s="387"/>
      <c r="P9" s="59"/>
      <c r="R9" s="307" t="s">
        <v>874</v>
      </c>
      <c r="S9" s="307">
        <f>スコア!W67</f>
        <v>3.9048749999999997</v>
      </c>
      <c r="T9" s="308"/>
      <c r="U9" s="307" t="s">
        <v>115</v>
      </c>
      <c r="V9" s="627" t="s">
        <v>743</v>
      </c>
      <c r="W9" s="741">
        <v>5</v>
      </c>
      <c r="X9" s="741">
        <v>4</v>
      </c>
      <c r="Y9" s="741">
        <v>2</v>
      </c>
      <c r="Z9" s="309">
        <f>V46</f>
        <v>3.9</v>
      </c>
      <c r="AA9" s="374">
        <v>3</v>
      </c>
      <c r="AB9" s="308"/>
    </row>
    <row r="10" spans="1:28" ht="15.75" customHeight="1">
      <c r="A10" s="59"/>
      <c r="B10" s="689" t="s">
        <v>192</v>
      </c>
      <c r="C10" s="682"/>
      <c r="D10" s="2832">
        <f>メイン!C13</f>
        <v>0</v>
      </c>
      <c r="E10" s="2833"/>
      <c r="F10" s="2834"/>
      <c r="G10" s="726"/>
      <c r="H10" s="688"/>
      <c r="I10" s="289"/>
      <c r="J10" s="725" t="s">
        <v>234</v>
      </c>
      <c r="K10" s="727" t="str">
        <f>メイン!C28</f>
        <v>仮</v>
      </c>
      <c r="L10" s="1129"/>
      <c r="M10" s="388"/>
      <c r="N10" s="388"/>
      <c r="O10" s="387"/>
      <c r="P10" s="59"/>
      <c r="R10" s="307" t="s">
        <v>189</v>
      </c>
      <c r="S10" s="307">
        <f>25*(S8-1)</f>
        <v>80.243749999999991</v>
      </c>
      <c r="T10" s="308"/>
      <c r="U10" s="307" t="s">
        <v>116</v>
      </c>
      <c r="V10" s="611" t="s">
        <v>744</v>
      </c>
      <c r="W10" s="741">
        <v>5</v>
      </c>
      <c r="X10" s="741">
        <v>4</v>
      </c>
      <c r="Y10" s="741">
        <v>2</v>
      </c>
      <c r="Z10" s="309">
        <f>Y46</f>
        <v>3.8</v>
      </c>
      <c r="AA10" s="374">
        <v>3</v>
      </c>
      <c r="AB10" s="308"/>
    </row>
    <row r="11" spans="1:28" ht="15.75" customHeight="1">
      <c r="A11" s="59"/>
      <c r="B11" s="689" t="s">
        <v>303</v>
      </c>
      <c r="C11" s="683"/>
      <c r="D11" s="2835">
        <f>メイン!C14</f>
        <v>0</v>
      </c>
      <c r="E11" s="2836"/>
      <c r="F11" s="2837"/>
      <c r="G11" s="727" t="str">
        <f>メイン!E13</f>
        <v>確定</v>
      </c>
      <c r="H11" s="884" t="s">
        <v>46</v>
      </c>
      <c r="I11" s="881"/>
      <c r="J11" s="881"/>
      <c r="K11" s="882"/>
      <c r="L11" s="386"/>
      <c r="M11" s="388"/>
      <c r="N11" s="388"/>
      <c r="O11" s="387"/>
      <c r="P11" s="59"/>
      <c r="R11" s="307" t="s">
        <v>354</v>
      </c>
      <c r="S11" s="307">
        <f>25*(5-S9)</f>
        <v>27.378125000000008</v>
      </c>
      <c r="T11" s="308"/>
      <c r="U11" s="307" t="s">
        <v>117</v>
      </c>
      <c r="V11" s="627" t="s">
        <v>216</v>
      </c>
      <c r="W11" s="741">
        <v>5</v>
      </c>
      <c r="X11" s="741">
        <v>4</v>
      </c>
      <c r="Y11" s="741">
        <v>2</v>
      </c>
      <c r="Z11" s="309">
        <f>Y56</f>
        <v>4.3</v>
      </c>
      <c r="AA11" s="374">
        <v>3</v>
      </c>
      <c r="AB11" s="308"/>
    </row>
    <row r="12" spans="1:28" ht="15.75" customHeight="1">
      <c r="A12" s="59"/>
      <c r="B12" s="2479" t="s">
        <v>219</v>
      </c>
      <c r="C12" s="682"/>
      <c r="D12" s="2838" t="str">
        <f>メイン!C15&amp;" 地域"</f>
        <v>3 地域</v>
      </c>
      <c r="E12" s="2839"/>
      <c r="F12" s="2840"/>
      <c r="G12" s="723"/>
      <c r="H12" s="2873" t="str">
        <f>IF(メイン!C29=0,"",メイン!C29)</f>
        <v/>
      </c>
      <c r="I12" s="2874"/>
      <c r="J12" s="2874"/>
      <c r="K12" s="2875"/>
      <c r="L12" s="386"/>
      <c r="M12" s="1128" t="s">
        <v>808</v>
      </c>
      <c r="N12" s="388"/>
      <c r="O12" s="387"/>
      <c r="P12" s="59"/>
      <c r="R12" s="307" t="s">
        <v>355</v>
      </c>
      <c r="S12" s="307">
        <f>S10/S11</f>
        <v>2.930943956169386</v>
      </c>
      <c r="T12" s="308"/>
      <c r="U12" s="307" t="s">
        <v>118</v>
      </c>
      <c r="V12" s="627" t="s">
        <v>730</v>
      </c>
      <c r="W12" s="741">
        <v>5</v>
      </c>
      <c r="X12" s="741">
        <v>4</v>
      </c>
      <c r="Y12" s="741">
        <v>2</v>
      </c>
      <c r="Z12" s="309">
        <f>V56</f>
        <v>3.4</v>
      </c>
      <c r="AA12" s="374">
        <v>3</v>
      </c>
      <c r="AB12" s="308"/>
    </row>
    <row r="13" spans="1:28" ht="15.75" customHeight="1">
      <c r="A13" s="59"/>
      <c r="B13" s="831" t="s">
        <v>227</v>
      </c>
      <c r="C13" s="832"/>
      <c r="D13" s="2841" t="str">
        <f>メイン!C18</f>
        <v>木造</v>
      </c>
      <c r="E13" s="2842"/>
      <c r="F13" s="2843"/>
      <c r="G13" s="2872" t="str">
        <f>メイン!E18</f>
        <v>確定</v>
      </c>
      <c r="H13" s="2873"/>
      <c r="I13" s="2874"/>
      <c r="J13" s="2874"/>
      <c r="K13" s="2875"/>
      <c r="L13" s="386"/>
      <c r="M13" s="1402" t="s">
        <v>962</v>
      </c>
      <c r="N13" s="388"/>
      <c r="O13" s="387"/>
      <c r="P13" s="59"/>
      <c r="R13" s="307" t="s">
        <v>125</v>
      </c>
      <c r="S13" s="751">
        <f>ROUNDDOWN(S12,1)</f>
        <v>2.9</v>
      </c>
      <c r="T13" s="308"/>
      <c r="U13" s="307" t="s">
        <v>119</v>
      </c>
      <c r="V13" s="627" t="s">
        <v>745</v>
      </c>
      <c r="W13" s="741">
        <v>5</v>
      </c>
      <c r="X13" s="741">
        <v>4</v>
      </c>
      <c r="Y13" s="741">
        <v>2</v>
      </c>
      <c r="Z13" s="309">
        <f>S56</f>
        <v>3.9</v>
      </c>
      <c r="AA13" s="374">
        <v>3</v>
      </c>
      <c r="AB13" s="308"/>
    </row>
    <row r="14" spans="1:28" ht="14.4" customHeight="1">
      <c r="A14" s="59"/>
      <c r="B14" s="2474" t="s">
        <v>231</v>
      </c>
      <c r="C14" s="685"/>
      <c r="D14" s="2844">
        <f>メイン!C19</f>
        <v>0</v>
      </c>
      <c r="E14" s="2845"/>
      <c r="F14" s="2846"/>
      <c r="G14" s="2870"/>
      <c r="H14" s="2873"/>
      <c r="I14" s="2874"/>
      <c r="J14" s="2874"/>
      <c r="K14" s="2875"/>
      <c r="L14" s="386"/>
      <c r="M14" s="1402" t="s">
        <v>963</v>
      </c>
      <c r="N14" s="386"/>
      <c r="O14" s="387"/>
      <c r="P14" s="59"/>
      <c r="R14" s="308"/>
      <c r="S14" s="718"/>
      <c r="T14" s="308"/>
      <c r="U14" s="307" t="s">
        <v>120</v>
      </c>
      <c r="V14" s="611" t="s">
        <v>732</v>
      </c>
      <c r="W14" s="741">
        <v>5</v>
      </c>
      <c r="X14" s="741">
        <v>4</v>
      </c>
      <c r="Y14" s="741">
        <v>2</v>
      </c>
      <c r="Z14" s="309">
        <f>S46</f>
        <v>4.5999999999999996</v>
      </c>
      <c r="AA14" s="374">
        <v>3</v>
      </c>
      <c r="AB14" s="308"/>
    </row>
    <row r="15" spans="1:28" ht="14.4" hidden="1" customHeight="1">
      <c r="A15" s="59"/>
      <c r="B15" s="2478" t="s">
        <v>1904</v>
      </c>
      <c r="C15" s="833"/>
      <c r="D15" s="2849">
        <f>メイン!C20</f>
        <v>0</v>
      </c>
      <c r="E15" s="2850"/>
      <c r="F15" s="2851"/>
      <c r="G15" s="727"/>
      <c r="H15" s="2477"/>
      <c r="I15" s="2473"/>
      <c r="J15" s="2473"/>
      <c r="K15" s="2460"/>
      <c r="L15" s="386"/>
      <c r="M15" s="1402"/>
      <c r="N15" s="386"/>
      <c r="O15" s="387"/>
      <c r="P15" s="59"/>
      <c r="R15" s="308"/>
      <c r="S15" s="718"/>
      <c r="T15" s="308"/>
      <c r="U15" s="308"/>
      <c r="V15" s="2476"/>
      <c r="W15" s="2475"/>
      <c r="X15" s="2475"/>
      <c r="Y15" s="2475"/>
      <c r="Z15" s="742"/>
      <c r="AB15" s="308"/>
    </row>
    <row r="16" spans="1:28" ht="13.8">
      <c r="A16" s="59"/>
      <c r="B16" s="736" t="s">
        <v>230</v>
      </c>
      <c r="C16" s="737"/>
      <c r="D16" s="738"/>
      <c r="E16" s="739">
        <f>メイン!C21</f>
        <v>0</v>
      </c>
      <c r="F16" s="834" t="s">
        <v>220</v>
      </c>
      <c r="G16" s="2485" t="str">
        <f>メイン!E21</f>
        <v>確定</v>
      </c>
      <c r="H16" s="695" t="s">
        <v>773</v>
      </c>
      <c r="I16" s="696"/>
      <c r="J16" s="731" t="str">
        <f>IF(メイン!C32=0,"",メイン!C32)</f>
        <v/>
      </c>
      <c r="K16" s="732"/>
      <c r="L16" s="1118"/>
      <c r="M16" s="1118"/>
      <c r="N16" s="1119"/>
      <c r="O16" s="1120"/>
      <c r="P16" s="59"/>
      <c r="R16" s="307" t="s">
        <v>121</v>
      </c>
      <c r="S16" s="755">
        <f>IF(AND($S$10&gt;=50,$S$12&gt;=3),1,IF(S13&lt;0.5,1,IF(S13&lt;1,2,IF(S13&lt;1.5,3,IF(S13&lt;3,4,4))))/5)</f>
        <v>0.8</v>
      </c>
      <c r="T16" s="308"/>
      <c r="U16" s="308"/>
      <c r="V16" s="308"/>
      <c r="W16" s="308"/>
      <c r="X16" s="308"/>
      <c r="AB16" s="308"/>
    </row>
    <row r="17" spans="1:28" ht="15.75" customHeight="1">
      <c r="A17" s="59"/>
      <c r="B17" s="692" t="s">
        <v>868</v>
      </c>
      <c r="C17" s="685"/>
      <c r="D17" s="699"/>
      <c r="E17" s="686">
        <f>メイン!C22</f>
        <v>0</v>
      </c>
      <c r="F17" s="681" t="s">
        <v>220</v>
      </c>
      <c r="G17" s="2870" t="str">
        <f>メイン!E22</f>
        <v>確定</v>
      </c>
      <c r="H17" s="700" t="s">
        <v>774</v>
      </c>
      <c r="I17" s="701"/>
      <c r="J17" s="835" t="str">
        <f>IF(メイン!C33=0,"",メイン!C33)</f>
        <v>平野公彦</v>
      </c>
      <c r="K17" s="733"/>
      <c r="L17" s="1121"/>
      <c r="M17" s="1118"/>
      <c r="N17" s="1122"/>
      <c r="O17" s="1123"/>
      <c r="P17" s="59"/>
      <c r="R17" s="307" t="s">
        <v>122</v>
      </c>
      <c r="S17" s="626">
        <f>1-S16</f>
        <v>0.19999999999999996</v>
      </c>
      <c r="T17" s="310"/>
      <c r="U17" s="310"/>
      <c r="V17" s="310"/>
      <c r="W17" s="310"/>
      <c r="X17" s="310"/>
      <c r="AB17" s="308"/>
    </row>
    <row r="18" spans="1:28" ht="13.8">
      <c r="A18" s="59"/>
      <c r="B18" s="692" t="s">
        <v>33</v>
      </c>
      <c r="C18" s="685"/>
      <c r="D18" s="740"/>
      <c r="E18" s="686">
        <f>メイン!C23</f>
        <v>120.8</v>
      </c>
      <c r="F18" s="681" t="s">
        <v>220</v>
      </c>
      <c r="G18" s="2871"/>
      <c r="H18" s="689" t="s">
        <v>431</v>
      </c>
      <c r="I18" s="684"/>
      <c r="J18" s="836" t="str">
        <f>IF(メイン!C34=0,"",メイン!C34)</f>
        <v/>
      </c>
      <c r="K18" s="734"/>
      <c r="L18" s="1121"/>
      <c r="M18" s="1118"/>
      <c r="N18" s="1122"/>
      <c r="O18" s="1123"/>
      <c r="P18" s="59"/>
      <c r="R18" s="310"/>
      <c r="S18" s="310"/>
      <c r="T18" s="310"/>
      <c r="U18" s="310"/>
      <c r="V18" s="310"/>
      <c r="W18" s="310"/>
      <c r="X18" s="310"/>
      <c r="AB18" s="308"/>
    </row>
    <row r="19" spans="1:28" ht="14.4" thickBot="1">
      <c r="A19" s="59"/>
      <c r="B19" s="2605" t="s">
        <v>302</v>
      </c>
      <c r="C19" s="702"/>
      <c r="D19" s="2826">
        <f>メイン!C24</f>
        <v>0</v>
      </c>
      <c r="E19" s="2827"/>
      <c r="F19" s="2828"/>
      <c r="G19" s="729" t="str">
        <f>メイン!E24</f>
        <v>仮</v>
      </c>
      <c r="H19" s="697" t="s">
        <v>471</v>
      </c>
      <c r="I19" s="698"/>
      <c r="J19" s="837" t="str">
        <f>IF(メイン!C35=0,"",メイン!C35)</f>
        <v/>
      </c>
      <c r="K19" s="735"/>
      <c r="L19" s="1124"/>
      <c r="M19" s="1125"/>
      <c r="N19" s="1126"/>
      <c r="O19" s="1127"/>
      <c r="P19" s="59"/>
      <c r="R19" s="310"/>
      <c r="S19" s="310"/>
      <c r="T19" s="310"/>
      <c r="U19" s="310"/>
      <c r="V19" s="310"/>
      <c r="W19" s="310"/>
      <c r="X19" s="310"/>
      <c r="AB19" s="308"/>
    </row>
    <row r="20" spans="1:28" ht="14.4" thickBot="1">
      <c r="A20" s="59"/>
      <c r="B20" s="2480"/>
      <c r="C20" s="2481"/>
      <c r="D20" s="2480"/>
      <c r="E20" s="703"/>
      <c r="F20" s="703"/>
      <c r="G20" s="703"/>
      <c r="H20" s="703"/>
      <c r="I20" s="704"/>
      <c r="J20" s="705"/>
      <c r="K20" s="706"/>
      <c r="L20" s="370"/>
      <c r="M20" s="370"/>
      <c r="N20" s="370"/>
      <c r="O20" s="370"/>
      <c r="P20" s="59"/>
      <c r="R20" s="310"/>
      <c r="S20" s="310"/>
      <c r="T20" s="310"/>
      <c r="U20" s="310"/>
      <c r="V20" s="310"/>
      <c r="W20" s="310"/>
      <c r="X20" s="310"/>
      <c r="AB20" s="308"/>
    </row>
    <row r="21" spans="1:28" ht="18.600000000000001" thickBot="1">
      <c r="A21" s="59"/>
      <c r="B21" s="339" t="s">
        <v>943</v>
      </c>
      <c r="C21" s="338"/>
      <c r="D21" s="338"/>
      <c r="E21" s="338"/>
      <c r="F21" s="338"/>
      <c r="G21" s="338"/>
      <c r="H21" s="747" t="s">
        <v>277</v>
      </c>
      <c r="I21" s="719"/>
      <c r="J21" s="720"/>
      <c r="K21" s="720"/>
      <c r="L21" s="708" t="s">
        <v>266</v>
      </c>
      <c r="M21" s="338"/>
      <c r="N21" s="340"/>
      <c r="O21" s="1088"/>
      <c r="P21" s="59"/>
      <c r="R21" s="754" t="s">
        <v>124</v>
      </c>
      <c r="S21" s="308"/>
      <c r="T21" s="308"/>
      <c r="U21" s="308"/>
      <c r="AB21" s="308"/>
    </row>
    <row r="22" spans="1:28" ht="15" customHeight="1">
      <c r="A22" s="59"/>
      <c r="B22" s="622"/>
      <c r="C22" s="370"/>
      <c r="D22" s="370"/>
      <c r="E22" s="370"/>
      <c r="F22" s="370"/>
      <c r="G22" s="370"/>
      <c r="H22" s="1061"/>
      <c r="I22" s="1062"/>
      <c r="J22" s="370"/>
      <c r="K22" s="1063"/>
      <c r="L22" s="622"/>
      <c r="M22" s="289"/>
      <c r="N22" s="289"/>
      <c r="O22" s="373"/>
      <c r="P22" s="59"/>
      <c r="Q22" s="289"/>
      <c r="R22" s="307"/>
      <c r="S22" s="306" t="s">
        <v>415</v>
      </c>
      <c r="T22" s="306" t="s">
        <v>421</v>
      </c>
      <c r="U22" s="306" t="s">
        <v>422</v>
      </c>
      <c r="V22" s="308"/>
      <c r="W22" s="306" t="s">
        <v>414</v>
      </c>
      <c r="X22" s="306"/>
      <c r="Y22" s="308"/>
      <c r="Z22" s="306" t="s">
        <v>481</v>
      </c>
      <c r="AA22" s="306"/>
      <c r="AB22" s="308"/>
    </row>
    <row r="23" spans="1:28" ht="15" customHeight="1">
      <c r="A23" s="59"/>
      <c r="B23" s="372"/>
      <c r="C23" s="1378">
        <f>S13</f>
        <v>2.9</v>
      </c>
      <c r="D23" s="289"/>
      <c r="E23" s="289"/>
      <c r="F23" s="289"/>
      <c r="G23" s="289"/>
      <c r="H23" s="748"/>
      <c r="I23" s="389"/>
      <c r="J23" s="749"/>
      <c r="K23" s="750"/>
      <c r="L23" s="1064"/>
      <c r="M23" s="289"/>
      <c r="N23" s="289"/>
      <c r="O23" s="373"/>
      <c r="P23" s="59"/>
      <c r="Q23" s="289"/>
      <c r="R23" s="307" t="s">
        <v>356</v>
      </c>
      <c r="S23" s="309"/>
      <c r="T23" s="324">
        <f>S11</f>
        <v>27.378125000000008</v>
      </c>
      <c r="U23" s="309">
        <v>0</v>
      </c>
      <c r="V23" s="308"/>
      <c r="W23" s="309">
        <v>50</v>
      </c>
      <c r="X23" s="309">
        <v>50</v>
      </c>
      <c r="Y23" s="308"/>
      <c r="Z23" s="309">
        <v>0</v>
      </c>
      <c r="AA23" s="309">
        <v>100</v>
      </c>
      <c r="AB23" s="308"/>
    </row>
    <row r="24" spans="1:28" ht="15" customHeight="1">
      <c r="A24" s="59"/>
      <c r="B24" s="372"/>
      <c r="C24" s="289"/>
      <c r="D24" s="289"/>
      <c r="E24" s="289"/>
      <c r="F24" s="289"/>
      <c r="G24" s="289"/>
      <c r="H24" s="748"/>
      <c r="I24" s="289"/>
      <c r="J24" s="749"/>
      <c r="K24" s="750"/>
      <c r="L24" s="1064"/>
      <c r="M24" s="289"/>
      <c r="N24" s="289"/>
      <c r="O24" s="373"/>
      <c r="P24" s="59"/>
      <c r="Q24" s="289"/>
      <c r="R24" s="307" t="s">
        <v>359</v>
      </c>
      <c r="S24" s="309"/>
      <c r="T24" s="324">
        <f>S10</f>
        <v>80.243749999999991</v>
      </c>
      <c r="U24" s="309">
        <v>0</v>
      </c>
      <c r="V24" s="308"/>
      <c r="W24" s="309">
        <v>0</v>
      </c>
      <c r="X24" s="309">
        <v>100</v>
      </c>
      <c r="Y24" s="308"/>
      <c r="Z24" s="309">
        <v>50</v>
      </c>
      <c r="AA24" s="309">
        <v>50</v>
      </c>
      <c r="AB24" s="308"/>
    </row>
    <row r="25" spans="1:28" ht="15" customHeight="1">
      <c r="A25" s="59"/>
      <c r="B25" s="744"/>
      <c r="C25" s="745"/>
      <c r="D25" s="745"/>
      <c r="E25" s="745"/>
      <c r="F25" s="745"/>
      <c r="G25" s="746"/>
      <c r="H25" s="1065"/>
      <c r="I25" s="1066"/>
      <c r="J25" s="1067"/>
      <c r="K25" s="1068"/>
      <c r="L25" s="372"/>
      <c r="M25" s="289"/>
      <c r="O25" s="373"/>
      <c r="P25" s="59"/>
      <c r="Q25" s="289"/>
      <c r="R25" s="309">
        <v>0</v>
      </c>
      <c r="S25" s="306">
        <f>T23</f>
        <v>27.378125000000008</v>
      </c>
      <c r="T25" s="628">
        <f>T23</f>
        <v>27.378125000000008</v>
      </c>
      <c r="U25" s="306">
        <v>0.1</v>
      </c>
      <c r="V25" s="308"/>
      <c r="W25" s="308"/>
      <c r="X25" s="308"/>
      <c r="Y25" s="308"/>
      <c r="Z25" s="308"/>
      <c r="AA25" s="308"/>
      <c r="AB25" s="308"/>
    </row>
    <row r="26" spans="1:28" ht="15" customHeight="1">
      <c r="A26" s="59"/>
      <c r="B26" s="372"/>
      <c r="C26" s="289"/>
      <c r="D26" s="289"/>
      <c r="E26" s="289"/>
      <c r="F26" s="289"/>
      <c r="G26" s="289"/>
      <c r="H26" s="1110" t="str">
        <f>U36</f>
        <v>戸建標準計算</v>
      </c>
      <c r="I26" s="289"/>
      <c r="J26" s="749"/>
      <c r="K26" s="749"/>
      <c r="L26" s="372"/>
      <c r="M26" s="289"/>
      <c r="N26" s="289"/>
      <c r="O26" s="373"/>
      <c r="P26" s="59"/>
      <c r="Q26" s="289"/>
      <c r="R26" s="309">
        <v>0</v>
      </c>
      <c r="S26" s="306">
        <v>0</v>
      </c>
      <c r="T26" s="306">
        <f>T24</f>
        <v>80.243749999999991</v>
      </c>
      <c r="U26" s="629">
        <f>T24</f>
        <v>80.243749999999991</v>
      </c>
      <c r="V26" s="308"/>
      <c r="W26" s="308"/>
      <c r="X26" s="308"/>
      <c r="Y26" s="308"/>
      <c r="Z26" s="308"/>
      <c r="AA26" s="308"/>
      <c r="AB26" s="308"/>
    </row>
    <row r="27" spans="1:28" ht="15" customHeight="1">
      <c r="A27" s="59"/>
      <c r="B27" s="372"/>
      <c r="C27" s="289"/>
      <c r="D27" s="289"/>
      <c r="E27" s="289"/>
      <c r="F27" s="289"/>
      <c r="G27" s="289"/>
      <c r="H27" s="748"/>
      <c r="I27" s="289"/>
      <c r="J27" s="749"/>
      <c r="K27" s="750"/>
      <c r="L27" s="1069"/>
      <c r="M27" s="1070"/>
      <c r="N27" s="597"/>
      <c r="O27" s="1071"/>
      <c r="P27" s="59"/>
      <c r="Q27" s="289"/>
      <c r="R27" s="742"/>
      <c r="S27" s="351"/>
      <c r="T27" s="351"/>
      <c r="U27" s="743"/>
      <c r="V27" s="308"/>
      <c r="W27" s="308"/>
      <c r="X27" s="308"/>
      <c r="Y27" s="308"/>
      <c r="Z27" s="308"/>
      <c r="AA27" s="308"/>
      <c r="AB27" s="308"/>
    </row>
    <row r="28" spans="1:28" ht="15" customHeight="1">
      <c r="A28" s="59"/>
      <c r="B28" s="372"/>
      <c r="C28" s="289"/>
      <c r="D28" s="289"/>
      <c r="E28" s="289"/>
      <c r="F28" s="289"/>
      <c r="G28" s="289"/>
      <c r="H28" s="748"/>
      <c r="I28" s="289"/>
      <c r="J28" s="749"/>
      <c r="K28" s="750"/>
      <c r="L28" s="1069"/>
      <c r="M28" s="1070"/>
      <c r="N28" s="597"/>
      <c r="O28" s="1071"/>
      <c r="P28" s="59"/>
      <c r="Q28" s="289"/>
      <c r="R28" s="630" t="s">
        <v>746</v>
      </c>
      <c r="S28" s="306" t="s">
        <v>747</v>
      </c>
      <c r="T28" s="631">
        <v>0</v>
      </c>
      <c r="U28" s="631">
        <f>100/6</f>
        <v>16.666666666666668</v>
      </c>
      <c r="V28" s="632">
        <f>U28*2</f>
        <v>33.333333333333336</v>
      </c>
      <c r="W28" s="631">
        <f>U28*3</f>
        <v>50</v>
      </c>
      <c r="X28" s="631">
        <f>U28*4</f>
        <v>66.666666666666671</v>
      </c>
      <c r="Y28" s="631">
        <f>U28*5</f>
        <v>83.333333333333343</v>
      </c>
      <c r="Z28" s="631">
        <v>100</v>
      </c>
      <c r="AA28" s="308"/>
      <c r="AB28" s="308"/>
    </row>
    <row r="29" spans="1:28" ht="15" customHeight="1">
      <c r="A29" s="59"/>
      <c r="B29" s="372"/>
      <c r="C29" s="289"/>
      <c r="D29" s="289"/>
      <c r="E29" s="289"/>
      <c r="F29" s="289"/>
      <c r="G29" s="289"/>
      <c r="H29" s="748"/>
      <c r="I29" s="289"/>
      <c r="J29" s="749"/>
      <c r="K29" s="750"/>
      <c r="L29" s="1072"/>
      <c r="M29" s="1073"/>
      <c r="N29" s="1074"/>
      <c r="O29" s="1075"/>
      <c r="P29" s="59"/>
      <c r="Q29" s="289"/>
      <c r="R29" s="630"/>
      <c r="S29" s="306" t="s">
        <v>748</v>
      </c>
      <c r="T29" s="631">
        <v>100</v>
      </c>
      <c r="U29" s="631">
        <v>100</v>
      </c>
      <c r="V29" s="631">
        <v>100</v>
      </c>
      <c r="W29" s="631">
        <v>100</v>
      </c>
      <c r="X29" s="631">
        <v>100</v>
      </c>
      <c r="Y29" s="631">
        <v>100</v>
      </c>
      <c r="Z29" s="631">
        <v>100</v>
      </c>
      <c r="AA29" s="308"/>
      <c r="AB29" s="308"/>
    </row>
    <row r="30" spans="1:28" ht="15" customHeight="1">
      <c r="A30" s="59"/>
      <c r="B30" s="372"/>
      <c r="C30" s="289"/>
      <c r="D30" s="289"/>
      <c r="E30" s="289"/>
      <c r="F30" s="289"/>
      <c r="G30" s="289"/>
      <c r="H30" s="748"/>
      <c r="I30" s="289"/>
      <c r="J30" s="749"/>
      <c r="K30" s="750"/>
      <c r="L30" s="1069"/>
      <c r="M30" s="1070"/>
      <c r="N30" s="597"/>
      <c r="O30" s="1071"/>
      <c r="P30" s="59"/>
      <c r="Q30" s="289"/>
      <c r="R30" s="630">
        <v>3</v>
      </c>
      <c r="S30" s="306" t="s">
        <v>749</v>
      </c>
      <c r="T30" s="631">
        <v>50</v>
      </c>
      <c r="U30" s="631">
        <f t="shared" ref="U30:V33" si="0">U$28*$R30</f>
        <v>50</v>
      </c>
      <c r="V30" s="631">
        <f t="shared" si="0"/>
        <v>100</v>
      </c>
      <c r="W30" s="631">
        <v>100</v>
      </c>
      <c r="X30" s="631">
        <v>100</v>
      </c>
      <c r="Y30" s="631">
        <v>100</v>
      </c>
      <c r="Z30" s="631">
        <v>100</v>
      </c>
      <c r="AA30" s="308"/>
      <c r="AB30" s="308"/>
    </row>
    <row r="31" spans="1:28" ht="15" customHeight="1">
      <c r="A31" s="59"/>
      <c r="B31" s="372"/>
      <c r="C31" s="289"/>
      <c r="D31" s="289"/>
      <c r="E31" s="289"/>
      <c r="F31" s="289"/>
      <c r="G31" s="289"/>
      <c r="H31" s="748"/>
      <c r="I31" s="289"/>
      <c r="J31" s="749"/>
      <c r="K31" s="750"/>
      <c r="L31" s="1069"/>
      <c r="M31" s="1070"/>
      <c r="N31" s="597"/>
      <c r="O31" s="1071"/>
      <c r="P31" s="59"/>
      <c r="Q31" s="289"/>
      <c r="R31" s="630">
        <v>1.5</v>
      </c>
      <c r="S31" s="306" t="s">
        <v>750</v>
      </c>
      <c r="T31" s="631">
        <v>0</v>
      </c>
      <c r="U31" s="631">
        <f t="shared" si="0"/>
        <v>25</v>
      </c>
      <c r="V31" s="631">
        <f t="shared" si="0"/>
        <v>50</v>
      </c>
      <c r="W31" s="631">
        <f t="shared" ref="W31:X33" si="1">W$28*$R31</f>
        <v>75</v>
      </c>
      <c r="X31" s="631">
        <f t="shared" si="1"/>
        <v>100</v>
      </c>
      <c r="Y31" s="631">
        <v>100</v>
      </c>
      <c r="Z31" s="631">
        <v>100</v>
      </c>
      <c r="AA31" s="308"/>
      <c r="AB31" s="308"/>
    </row>
    <row r="32" spans="1:28" ht="15" customHeight="1">
      <c r="A32" s="59"/>
      <c r="B32" s="372"/>
      <c r="C32" s="289"/>
      <c r="D32" s="289"/>
      <c r="E32" s="289"/>
      <c r="F32" s="289"/>
      <c r="G32" s="289"/>
      <c r="H32" s="2848"/>
      <c r="I32" s="289"/>
      <c r="J32" s="749"/>
      <c r="K32" s="750"/>
      <c r="L32" s="1069"/>
      <c r="M32" s="1070"/>
      <c r="N32" s="597"/>
      <c r="O32" s="1071"/>
      <c r="P32" s="59"/>
      <c r="Q32" s="289"/>
      <c r="R32" s="630">
        <v>1</v>
      </c>
      <c r="S32" s="306" t="s">
        <v>751</v>
      </c>
      <c r="T32" s="631">
        <v>0</v>
      </c>
      <c r="U32" s="631">
        <f t="shared" si="0"/>
        <v>16.666666666666668</v>
      </c>
      <c r="V32" s="631">
        <f t="shared" si="0"/>
        <v>33.333333333333336</v>
      </c>
      <c r="W32" s="631">
        <f t="shared" si="1"/>
        <v>50</v>
      </c>
      <c r="X32" s="631">
        <f t="shared" si="1"/>
        <v>66.666666666666671</v>
      </c>
      <c r="Y32" s="631">
        <f>Y$28*$R32</f>
        <v>83.333333333333343</v>
      </c>
      <c r="Z32" s="631">
        <f>Z$28*$R32</f>
        <v>100</v>
      </c>
      <c r="AA32" s="308"/>
      <c r="AB32" s="308"/>
    </row>
    <row r="33" spans="1:35" ht="15" customHeight="1">
      <c r="A33" s="59"/>
      <c r="B33" s="372"/>
      <c r="C33" s="289"/>
      <c r="D33" s="289"/>
      <c r="E33" s="289"/>
      <c r="F33" s="289"/>
      <c r="G33" s="289"/>
      <c r="H33" s="2848"/>
      <c r="I33" s="389"/>
      <c r="J33" s="749"/>
      <c r="K33" s="750"/>
      <c r="L33" s="1069"/>
      <c r="M33" s="289"/>
      <c r="N33" s="289"/>
      <c r="O33" s="373"/>
      <c r="P33" s="59"/>
      <c r="Q33" s="289"/>
      <c r="R33" s="630">
        <v>0.5</v>
      </c>
      <c r="S33" s="306" t="s">
        <v>752</v>
      </c>
      <c r="T33" s="631">
        <v>0</v>
      </c>
      <c r="U33" s="631">
        <f t="shared" si="0"/>
        <v>8.3333333333333339</v>
      </c>
      <c r="V33" s="631">
        <f t="shared" si="0"/>
        <v>16.666666666666668</v>
      </c>
      <c r="W33" s="631">
        <f t="shared" si="1"/>
        <v>25</v>
      </c>
      <c r="X33" s="631">
        <f t="shared" si="1"/>
        <v>33.333333333333336</v>
      </c>
      <c r="Y33" s="631">
        <f>Y$28*$R33</f>
        <v>41.666666666666671</v>
      </c>
      <c r="Z33" s="631">
        <f>Z$28*$R33</f>
        <v>50</v>
      </c>
      <c r="AA33" s="308"/>
      <c r="AB33" s="308"/>
    </row>
    <row r="34" spans="1:35" ht="15" customHeight="1">
      <c r="A34" s="59"/>
      <c r="B34" s="372"/>
      <c r="C34" s="289"/>
      <c r="D34" s="289"/>
      <c r="E34" s="289"/>
      <c r="F34" s="289"/>
      <c r="G34" s="289"/>
      <c r="H34" s="1076"/>
      <c r="I34" s="1077"/>
      <c r="J34" s="1077"/>
      <c r="K34" s="1078"/>
      <c r="L34" s="1069"/>
      <c r="M34" s="289"/>
      <c r="N34" s="1079"/>
      <c r="O34" s="373"/>
      <c r="P34" s="59"/>
      <c r="Q34" s="289"/>
      <c r="S34" s="289"/>
      <c r="AA34" s="308"/>
      <c r="AB34" s="308"/>
    </row>
    <row r="35" spans="1:35" ht="15" customHeight="1">
      <c r="A35" s="59"/>
      <c r="B35" s="372"/>
      <c r="C35" s="289"/>
      <c r="D35" s="289"/>
      <c r="E35" s="289"/>
      <c r="F35" s="289"/>
      <c r="G35" s="289"/>
      <c r="H35" s="2820" t="str">
        <f>IF(U36=W36,X36,X37)</f>
        <v>このグラフは、LR3中の「地球温暖化への配慮」の内容を、一般的な住宅（参照値）と比べたライフサイクルCO2 排出量の目安で示したものです</v>
      </c>
      <c r="I35" s="2821"/>
      <c r="J35" s="2821"/>
      <c r="K35" s="2822"/>
      <c r="L35" s="1069"/>
      <c r="M35" s="289"/>
      <c r="N35" s="1080"/>
      <c r="O35" s="373"/>
      <c r="P35" s="59"/>
      <c r="Q35" s="289"/>
      <c r="S35" s="289"/>
      <c r="AA35" s="308"/>
      <c r="AB35" s="308"/>
    </row>
    <row r="36" spans="1:35" ht="13.2" customHeight="1">
      <c r="A36" s="59"/>
      <c r="B36" s="372"/>
      <c r="C36" s="677"/>
      <c r="D36" s="289"/>
      <c r="E36" s="289"/>
      <c r="F36" s="289"/>
      <c r="G36" s="289"/>
      <c r="H36" s="2820"/>
      <c r="I36" s="2821"/>
      <c r="J36" s="2821"/>
      <c r="K36" s="2822"/>
      <c r="L36" s="372"/>
      <c r="M36" s="1081"/>
      <c r="N36" s="289"/>
      <c r="O36" s="373"/>
      <c r="P36" s="59"/>
      <c r="Q36" s="289"/>
      <c r="R36" s="307" t="s">
        <v>395</v>
      </c>
      <c r="S36" s="1086">
        <f>IF(T36&lt;=0,1,IF(T36&lt;=0.5,0.8,IF(T36&lt;=0.75,0.6,IF(T36&lt;=1,0.4,0.2))))</f>
        <v>0.6</v>
      </c>
      <c r="T36" s="1087">
        <f>IF(U36=W36,AB42,AB43)</f>
        <v>0.74</v>
      </c>
      <c r="U36" s="907" t="str">
        <f>メイン!C36</f>
        <v>戸建標準計算</v>
      </c>
      <c r="V36" s="1093" t="s">
        <v>840</v>
      </c>
      <c r="W36" s="825" t="str">
        <f>メイン!H36</f>
        <v>戸建標準計算</v>
      </c>
      <c r="X36" s="825" t="s">
        <v>295</v>
      </c>
      <c r="Y36" s="1087"/>
      <c r="Z36" s="1087"/>
      <c r="AA36" s="308"/>
      <c r="AB36" s="308"/>
    </row>
    <row r="37" spans="1:35" ht="14.4" thickBot="1">
      <c r="A37" s="59"/>
      <c r="B37" s="375"/>
      <c r="C37" s="371"/>
      <c r="D37" s="371"/>
      <c r="E37" s="371"/>
      <c r="F37" s="371"/>
      <c r="G37" s="371"/>
      <c r="H37" s="2823"/>
      <c r="I37" s="2824"/>
      <c r="J37" s="2824"/>
      <c r="K37" s="2825"/>
      <c r="L37" s="375"/>
      <c r="M37" s="1082"/>
      <c r="N37" s="371"/>
      <c r="O37" s="1083"/>
      <c r="P37" s="59"/>
      <c r="Q37" s="289"/>
      <c r="R37" s="307" t="s">
        <v>122</v>
      </c>
      <c r="S37" s="626">
        <f>1-S36</f>
        <v>0.4</v>
      </c>
      <c r="T37" s="1087"/>
      <c r="U37" s="907" t="s">
        <v>1905</v>
      </c>
      <c r="V37" s="1094" t="str">
        <f>IF(U36=W37,V36,"")</f>
        <v/>
      </c>
      <c r="W37" s="825" t="str">
        <f>メイン!H37</f>
        <v>戸建独自計算</v>
      </c>
      <c r="X37" s="825" t="s">
        <v>574</v>
      </c>
      <c r="Y37" s="1087"/>
      <c r="Z37" s="1087"/>
      <c r="AA37" s="308"/>
      <c r="AB37" s="308"/>
    </row>
    <row r="38" spans="1:35" ht="19.5" customHeight="1" thickBot="1">
      <c r="A38" s="59"/>
      <c r="B38" s="341" t="s">
        <v>184</v>
      </c>
      <c r="C38" s="342"/>
      <c r="D38" s="343"/>
      <c r="E38" s="342"/>
      <c r="F38" s="342"/>
      <c r="G38" s="342"/>
      <c r="H38" s="344"/>
      <c r="I38" s="345"/>
      <c r="J38" s="342"/>
      <c r="K38" s="342"/>
      <c r="L38" s="342"/>
      <c r="M38" s="346"/>
      <c r="N38" s="346"/>
      <c r="O38" s="347"/>
      <c r="P38" s="59"/>
      <c r="S38" s="289"/>
      <c r="AA38" s="308"/>
      <c r="AB38" s="308"/>
    </row>
    <row r="39" spans="1:35" ht="18" customHeight="1">
      <c r="A39" s="59"/>
      <c r="B39" s="607" t="s">
        <v>205</v>
      </c>
      <c r="C39" s="604"/>
      <c r="D39" s="604"/>
      <c r="E39" s="605"/>
      <c r="F39" s="604"/>
      <c r="G39" s="604"/>
      <c r="H39" s="604"/>
      <c r="I39" s="604"/>
      <c r="J39" s="604"/>
      <c r="K39" s="604"/>
      <c r="L39" s="606"/>
      <c r="M39" s="55" t="s">
        <v>203</v>
      </c>
      <c r="N39" s="348">
        <f>スコア!Q8</f>
        <v>4.2</v>
      </c>
      <c r="O39" s="296"/>
      <c r="P39" s="59"/>
      <c r="R39" s="752" t="s">
        <v>129</v>
      </c>
      <c r="S39" s="753" t="s">
        <v>130</v>
      </c>
      <c r="T39" s="753" t="s">
        <v>298</v>
      </c>
      <c r="U39" s="753" t="s">
        <v>131</v>
      </c>
      <c r="V39" s="753" t="s">
        <v>393</v>
      </c>
      <c r="W39" s="753" t="s">
        <v>394</v>
      </c>
      <c r="X39" s="753" t="s">
        <v>319</v>
      </c>
      <c r="Y39" s="1089" t="s">
        <v>320</v>
      </c>
      <c r="Z39" s="1089" t="s">
        <v>321</v>
      </c>
      <c r="AA39" s="1089" t="s">
        <v>322</v>
      </c>
      <c r="AB39" s="753" t="s">
        <v>128</v>
      </c>
      <c r="AC39" s="374" t="s">
        <v>127</v>
      </c>
      <c r="AF39" s="374" t="s">
        <v>416</v>
      </c>
      <c r="AG39" s="307" t="s">
        <v>417</v>
      </c>
      <c r="AH39" s="307" t="s">
        <v>418</v>
      </c>
      <c r="AI39" s="374" t="s">
        <v>419</v>
      </c>
    </row>
    <row r="40" spans="1:35" ht="13.8">
      <c r="A40" s="59"/>
      <c r="B40" s="376"/>
      <c r="C40" s="57" t="s">
        <v>207</v>
      </c>
      <c r="D40" s="58"/>
      <c r="E40" s="58"/>
      <c r="F40" s="58"/>
      <c r="G40" s="58"/>
      <c r="H40" s="58" t="s">
        <v>208</v>
      </c>
      <c r="I40" s="59"/>
      <c r="J40" s="59"/>
      <c r="K40" s="59"/>
      <c r="L40" s="60" t="s">
        <v>209</v>
      </c>
      <c r="M40" s="59"/>
      <c r="N40" s="59"/>
      <c r="O40" s="61"/>
      <c r="P40" s="59"/>
      <c r="R40" s="374" t="s">
        <v>126</v>
      </c>
      <c r="S40" s="1084">
        <f>IF($U$36=$W$36,CO2計算!P89,CO2独自計算!$E6)</f>
        <v>9.52</v>
      </c>
      <c r="T40" s="1084">
        <f>IF($U$36=$W$36,CO2計算!P90,CO2独自計算!$E8)</f>
        <v>2.83</v>
      </c>
      <c r="U40" s="1084">
        <f>IF($U$36=$W$36,CO2計算!P91,CO2独自計算!$E10)</f>
        <v>38.802961218453483</v>
      </c>
      <c r="V40" s="757"/>
      <c r="W40" s="757"/>
      <c r="X40" s="374"/>
      <c r="Y40" s="1090"/>
      <c r="Z40" s="1090"/>
      <c r="AA40" s="1090"/>
      <c r="AB40" s="1417" t="str">
        <f>IF(S40=0,"","100%")</f>
        <v>100%</v>
      </c>
      <c r="AC40" s="374">
        <f>IF(COUNTIF(S40:W40,AD41)&gt;0,AD41,SUM(S40:W40))</f>
        <v>51.152961218453484</v>
      </c>
      <c r="AF40" s="374">
        <v>0</v>
      </c>
      <c r="AG40" s="307">
        <v>0</v>
      </c>
      <c r="AH40" s="307">
        <f>MAX(AC40:AC43)</f>
        <v>51.152961218453484</v>
      </c>
      <c r="AI40" s="374">
        <v>0</v>
      </c>
    </row>
    <row r="41" spans="1:35" ht="14.4">
      <c r="A41" s="59"/>
      <c r="B41" s="372"/>
      <c r="C41" s="62"/>
      <c r="D41" s="63"/>
      <c r="E41" s="64"/>
      <c r="F41" s="289"/>
      <c r="G41" s="58">
        <f>S46</f>
        <v>4.5999999999999996</v>
      </c>
      <c r="H41" s="289"/>
      <c r="I41" s="65"/>
      <c r="J41" s="289"/>
      <c r="K41" s="763">
        <f>V46</f>
        <v>3.9</v>
      </c>
      <c r="L41" s="289"/>
      <c r="M41" s="66"/>
      <c r="N41" s="289"/>
      <c r="O41" s="765">
        <f>Y46</f>
        <v>3.8</v>
      </c>
      <c r="P41" s="59"/>
      <c r="Q41" s="289"/>
      <c r="R41" s="374" t="s">
        <v>389</v>
      </c>
      <c r="S41" s="1084">
        <f>IF($U$36=$W$36,CO2計算!M89,CO2独自計算!$G6)</f>
        <v>2.7896000000000001</v>
      </c>
      <c r="T41" s="1084">
        <f>IF($U$36=$W$36,CO2計算!M90,CO2独自計算!$G8)</f>
        <v>4.75</v>
      </c>
      <c r="U41" s="1084">
        <f>IF($U$36=$W$36,CO2計算!M55,CO2独自計算!$G10)</f>
        <v>29.86964678777413</v>
      </c>
      <c r="V41" s="757"/>
      <c r="W41" s="757"/>
      <c r="X41" s="1103">
        <f>IF(AC40&lt;AC41,0,IF(AF41&lt;0,0,AC40-AC41))</f>
        <v>13.743714430679354</v>
      </c>
      <c r="Y41" s="1090"/>
      <c r="Z41" s="1090"/>
      <c r="AA41" s="1090"/>
      <c r="AB41" s="1417">
        <f>IF(AC40=AD41,AD41,IFERROR(ROUNDUP((AC41/AC40),2),""))</f>
        <v>0.74</v>
      </c>
      <c r="AC41" s="374">
        <f>IF(COUNTIF(S41:W41,AD41)&gt;0,AD41,SUM(S41:W41))</f>
        <v>37.40924678777413</v>
      </c>
      <c r="AD41" s="289" t="s">
        <v>531</v>
      </c>
      <c r="AF41" s="374">
        <f>IF(AC40&lt;AC41,0,IF(AC41&gt;0,0,IF(AC40&gt;0,AC41,AC41-AC40)))</f>
        <v>0</v>
      </c>
      <c r="AG41" s="307">
        <f>IF(AC40&gt;0,0,AC40)</f>
        <v>0</v>
      </c>
      <c r="AH41" s="307">
        <v>0</v>
      </c>
      <c r="AI41" s="374">
        <f>IF(AC40&lt;AC41,0,IF(AC40&lt;0,0,IF(AC41&lt;0,AC40,0)))</f>
        <v>0</v>
      </c>
    </row>
    <row r="42" spans="1:35" ht="15" customHeight="1">
      <c r="A42" s="59"/>
      <c r="B42" s="372"/>
      <c r="C42" s="289"/>
      <c r="D42" s="289"/>
      <c r="E42" s="289"/>
      <c r="F42" s="289"/>
      <c r="G42" s="50"/>
      <c r="H42" s="50"/>
      <c r="I42" s="51"/>
      <c r="J42" s="51"/>
      <c r="K42" s="50"/>
      <c r="L42" s="59"/>
      <c r="M42" s="59"/>
      <c r="N42" s="59"/>
      <c r="O42" s="61"/>
      <c r="P42" s="59"/>
      <c r="R42" s="374" t="s">
        <v>390</v>
      </c>
      <c r="S42" s="1084"/>
      <c r="T42" s="1084"/>
      <c r="U42" s="1084"/>
      <c r="V42" s="2399">
        <f>IF($U$36=$W$36,CO2計算!M78,CO2独自計算!$G11)+S41+T41</f>
        <v>37.40924678777413</v>
      </c>
      <c r="W42" s="757"/>
      <c r="X42" s="1103">
        <f>IF(AC41&lt;AC42,0,IF(AF42&lt;0,0,AC41-AC42))</f>
        <v>0</v>
      </c>
      <c r="Y42" s="1090"/>
      <c r="Z42" s="1090"/>
      <c r="AA42" s="1090"/>
      <c r="AB42" s="1417">
        <f>IFERROR(IF(OR(AC40=AD42,AC42=AD42),AD42,ROUNDUP(AC42/AC40,2)),"")</f>
        <v>0.74</v>
      </c>
      <c r="AC42" s="374">
        <f>IF(COUNTIF(S42:W42,AD42)&gt;0,AD42,SUM(S42:W42))</f>
        <v>37.40924678777413</v>
      </c>
      <c r="AD42" s="289" t="s">
        <v>531</v>
      </c>
      <c r="AF42" s="374">
        <f>IF(AC41&lt;AC42,0,IF(AC42&gt;0,0,IF(AC41&gt;0,AC42,AC42-AC41)))</f>
        <v>0</v>
      </c>
      <c r="AG42" s="307">
        <f>IF(AC41&gt;0,0,AC41)</f>
        <v>0</v>
      </c>
      <c r="AH42" s="307">
        <v>0</v>
      </c>
      <c r="AI42" s="374">
        <f>IF(AC41&lt;AC42,0,IF(AC41&lt;0,0,IF(AC42&lt;0,AC41,0)))</f>
        <v>0</v>
      </c>
    </row>
    <row r="43" spans="1:35" ht="15" customHeight="1">
      <c r="A43" s="59"/>
      <c r="B43" s="372"/>
      <c r="C43" s="289"/>
      <c r="D43" s="289"/>
      <c r="E43" s="289"/>
      <c r="F43" s="289"/>
      <c r="G43" s="50"/>
      <c r="H43" s="50"/>
      <c r="I43" s="51"/>
      <c r="J43" s="51"/>
      <c r="K43" s="50"/>
      <c r="L43" s="59"/>
      <c r="M43" s="59"/>
      <c r="N43" s="59"/>
      <c r="O43" s="61"/>
      <c r="P43" s="59"/>
      <c r="R43" s="374" t="s">
        <v>391</v>
      </c>
      <c r="S43" s="1084"/>
      <c r="T43" s="1084"/>
      <c r="U43" s="1084"/>
      <c r="V43" s="1085"/>
      <c r="W43" s="1095">
        <f>IF($U$36=$W$36,CO2計算!M78,CO2独自計算!$G15)+S41+T41</f>
        <v>37.40924678777413</v>
      </c>
      <c r="X43" s="1103">
        <f>IF(AC42&lt;AC43,0,IF(AF43&lt;0,0,AC42-AC43))</f>
        <v>0</v>
      </c>
      <c r="Y43" s="1090"/>
      <c r="Z43" s="1090"/>
      <c r="AA43" s="1090"/>
      <c r="AB43" s="1417">
        <f>IFERROR(IF(OR(AC40=AD43,AC43=AD43),AD43,ROUNDUP(AC43/AC40,2)),"")</f>
        <v>0.74</v>
      </c>
      <c r="AC43" s="374">
        <f>IF(COUNTIF(S43:W43,AD43)&gt;0,AD43,SUM(S43:W43))</f>
        <v>37.40924678777413</v>
      </c>
      <c r="AD43" s="289" t="s">
        <v>531</v>
      </c>
      <c r="AF43" s="374">
        <f>IF(AC42&lt;AC43,0,IF(AC43&gt;0,0,IF(AC42&gt;0,AC43,AC43-AC42)))</f>
        <v>0</v>
      </c>
      <c r="AG43" s="307">
        <f>IF(AC42&gt;0,0,AC42)</f>
        <v>0</v>
      </c>
      <c r="AH43" s="307">
        <v>0</v>
      </c>
      <c r="AI43" s="374">
        <f>IF(AC42&lt;AC43,0,IF(AC42&lt;0,0,IF(AC43&lt;0,AC42,0)))</f>
        <v>0</v>
      </c>
    </row>
    <row r="44" spans="1:35" ht="15" customHeight="1">
      <c r="A44" s="59"/>
      <c r="B44" s="372"/>
      <c r="C44" s="289"/>
      <c r="D44" s="289"/>
      <c r="E44" s="289"/>
      <c r="F44" s="289"/>
      <c r="G44" s="50"/>
      <c r="H44" s="50"/>
      <c r="I44" s="51"/>
      <c r="J44" s="51"/>
      <c r="K44" s="50"/>
      <c r="L44" s="59"/>
      <c r="M44" s="59"/>
      <c r="N44" s="59"/>
      <c r="O44" s="61"/>
      <c r="P44" s="59"/>
      <c r="S44" s="289"/>
      <c r="W44" s="1104"/>
      <c r="X44" s="1104"/>
      <c r="AA44" s="308"/>
      <c r="AB44" s="308"/>
      <c r="AC44" s="1104"/>
    </row>
    <row r="45" spans="1:35" ht="15" customHeight="1">
      <c r="A45" s="59"/>
      <c r="B45" s="372"/>
      <c r="C45" s="289"/>
      <c r="D45" s="289"/>
      <c r="E45" s="289"/>
      <c r="F45" s="289"/>
      <c r="G45" s="50"/>
      <c r="H45" s="50"/>
      <c r="I45" s="51"/>
      <c r="J45" s="51"/>
      <c r="K45" s="50"/>
      <c r="L45" s="59"/>
      <c r="M45" s="59"/>
      <c r="N45" s="59"/>
      <c r="O45" s="61"/>
      <c r="P45" s="59"/>
      <c r="R45" s="307"/>
      <c r="S45" s="307" t="s">
        <v>753</v>
      </c>
      <c r="T45" s="307" t="s">
        <v>754</v>
      </c>
      <c r="U45" s="307"/>
      <c r="V45" s="307" t="s">
        <v>753</v>
      </c>
      <c r="W45" s="307" t="s">
        <v>754</v>
      </c>
      <c r="X45" s="307"/>
      <c r="Y45" s="307" t="s">
        <v>753</v>
      </c>
      <c r="Z45" s="307" t="s">
        <v>754</v>
      </c>
      <c r="AA45" s="308"/>
      <c r="AB45" s="308"/>
    </row>
    <row r="46" spans="1:35" ht="15" customHeight="1">
      <c r="A46" s="59"/>
      <c r="B46" s="372"/>
      <c r="C46" s="289"/>
      <c r="D46" s="289"/>
      <c r="E46" s="289"/>
      <c r="F46" s="289"/>
      <c r="G46" s="50"/>
      <c r="H46" s="50"/>
      <c r="I46" s="51"/>
      <c r="J46" s="51"/>
      <c r="K46" s="50"/>
      <c r="L46" s="59"/>
      <c r="M46" s="59"/>
      <c r="N46" s="59"/>
      <c r="O46" s="61"/>
      <c r="P46" s="59"/>
      <c r="R46" s="303" t="s">
        <v>194</v>
      </c>
      <c r="S46" s="313">
        <f>スコア!Q9</f>
        <v>4.5999999999999996</v>
      </c>
      <c r="T46" s="307">
        <f>スコア!W9</f>
        <v>4.5999999999999996</v>
      </c>
      <c r="U46" s="306" t="s">
        <v>755</v>
      </c>
      <c r="V46" s="417">
        <f>スコア!Q34</f>
        <v>3.9</v>
      </c>
      <c r="W46" s="307">
        <f>スコア!W34</f>
        <v>3.9616666666666664</v>
      </c>
      <c r="X46" s="303" t="s">
        <v>756</v>
      </c>
      <c r="Y46" s="293">
        <f>スコア!Q60</f>
        <v>3.8</v>
      </c>
      <c r="Z46" s="293">
        <f>スコア!W60</f>
        <v>3.8050000000000002</v>
      </c>
      <c r="AA46" s="308"/>
      <c r="AB46" s="308"/>
    </row>
    <row r="47" spans="1:35" ht="15" customHeight="1">
      <c r="A47" s="59"/>
      <c r="B47" s="372"/>
      <c r="C47" s="289"/>
      <c r="D47" s="289"/>
      <c r="E47" s="289"/>
      <c r="F47" s="289"/>
      <c r="G47" s="67"/>
      <c r="H47" s="67"/>
      <c r="I47" s="51"/>
      <c r="J47" s="51"/>
      <c r="K47" s="50"/>
      <c r="L47" s="59"/>
      <c r="M47" s="59"/>
      <c r="N47" s="59"/>
      <c r="O47" s="61"/>
      <c r="P47" s="59"/>
      <c r="S47" s="289"/>
      <c r="AA47" s="308"/>
      <c r="AB47" s="308"/>
    </row>
    <row r="48" spans="1:35" ht="15" customHeight="1">
      <c r="A48" s="59"/>
      <c r="B48" s="372"/>
      <c r="C48" s="289"/>
      <c r="D48" s="289"/>
      <c r="E48" s="289"/>
      <c r="F48" s="289"/>
      <c r="G48" s="67"/>
      <c r="H48" s="67"/>
      <c r="I48" s="51"/>
      <c r="J48" s="51"/>
      <c r="K48" s="50"/>
      <c r="L48" s="59"/>
      <c r="M48" s="59"/>
      <c r="N48" s="59"/>
      <c r="O48" s="61"/>
      <c r="P48" s="59"/>
      <c r="R48" s="307"/>
      <c r="S48" s="307" t="s">
        <v>757</v>
      </c>
      <c r="T48" s="307" t="s">
        <v>758</v>
      </c>
      <c r="U48" s="307"/>
      <c r="V48" s="307" t="s">
        <v>757</v>
      </c>
      <c r="W48" s="307" t="s">
        <v>758</v>
      </c>
      <c r="X48" s="307"/>
      <c r="Y48" s="377" t="s">
        <v>757</v>
      </c>
      <c r="Z48" s="307" t="s">
        <v>758</v>
      </c>
      <c r="AA48" s="308"/>
      <c r="AB48" s="308"/>
    </row>
    <row r="49" spans="1:28" ht="15" customHeight="1">
      <c r="A49" s="59"/>
      <c r="B49" s="372"/>
      <c r="C49" s="289"/>
      <c r="D49" s="289"/>
      <c r="E49" s="289"/>
      <c r="F49" s="289"/>
      <c r="G49" s="52"/>
      <c r="H49" s="52"/>
      <c r="I49" s="51"/>
      <c r="J49" s="68"/>
      <c r="K49" s="69"/>
      <c r="L49" s="70"/>
      <c r="M49" s="70"/>
      <c r="N49" s="70"/>
      <c r="O49" s="71"/>
      <c r="P49" s="59"/>
      <c r="R49" s="633" t="s">
        <v>759</v>
      </c>
      <c r="S49" s="313">
        <f>スコア!Q10</f>
        <v>4.5999999999999996</v>
      </c>
      <c r="T49" s="307" t="str">
        <f>IF(S49=0,"N.A.","")</f>
        <v/>
      </c>
      <c r="U49" s="306" t="s">
        <v>565</v>
      </c>
      <c r="V49" s="293">
        <f>スコア!Q35</f>
        <v>3.7</v>
      </c>
      <c r="W49" s="307" t="str">
        <f>IF(V49=0,"N.A.","")</f>
        <v/>
      </c>
      <c r="X49" s="633" t="s">
        <v>350</v>
      </c>
      <c r="Y49" s="293">
        <f>スコア!Q61</f>
        <v>5</v>
      </c>
      <c r="Z49" s="307" t="str">
        <f>IF(Y49=0,"N.A.","")</f>
        <v/>
      </c>
      <c r="AA49" s="308"/>
      <c r="AB49" s="308"/>
    </row>
    <row r="50" spans="1:28" ht="18" customHeight="1">
      <c r="A50" s="59"/>
      <c r="B50" s="612" t="s">
        <v>206</v>
      </c>
      <c r="C50" s="613"/>
      <c r="D50" s="614"/>
      <c r="E50" s="615"/>
      <c r="F50" s="615"/>
      <c r="G50" s="615"/>
      <c r="H50" s="615"/>
      <c r="I50" s="615"/>
      <c r="J50" s="56"/>
      <c r="K50" s="56"/>
      <c r="L50" s="606"/>
      <c r="M50" s="55" t="s">
        <v>204</v>
      </c>
      <c r="N50" s="349">
        <f>スコア!Q67</f>
        <v>3.9</v>
      </c>
      <c r="O50" s="296"/>
      <c r="P50" s="59"/>
      <c r="R50" s="633" t="s">
        <v>760</v>
      </c>
      <c r="S50" s="313">
        <f>スコア!Q20</f>
        <v>4.2</v>
      </c>
      <c r="T50" s="307" t="str">
        <f>IF(S50=0,"N.A.","")</f>
        <v/>
      </c>
      <c r="U50" s="306" t="s">
        <v>519</v>
      </c>
      <c r="V50" s="293">
        <f>スコア!Q46</f>
        <v>3.7</v>
      </c>
      <c r="W50" s="307" t="str">
        <f>IF(V50=0,"N.A.","")</f>
        <v/>
      </c>
      <c r="X50" s="633" t="s">
        <v>392</v>
      </c>
      <c r="Y50" s="293">
        <f>スコア!Q62</f>
        <v>2.2999999999999998</v>
      </c>
      <c r="Z50" s="307" t="str">
        <f>IF(Y50=0,"N.A.","")</f>
        <v/>
      </c>
      <c r="AA50" s="308"/>
      <c r="AB50" s="308"/>
    </row>
    <row r="51" spans="1:28" ht="13.8">
      <c r="A51" s="59"/>
      <c r="B51" s="813"/>
      <c r="C51" s="595" t="s">
        <v>211</v>
      </c>
      <c r="D51" s="595"/>
      <c r="E51" s="596"/>
      <c r="F51" s="595"/>
      <c r="G51" s="595"/>
      <c r="H51" s="595" t="s">
        <v>210</v>
      </c>
      <c r="I51" s="289"/>
      <c r="J51" s="595"/>
      <c r="K51" s="597"/>
      <c r="L51" s="595" t="s">
        <v>217</v>
      </c>
      <c r="M51" s="289"/>
      <c r="N51" s="289"/>
      <c r="O51" s="373"/>
      <c r="P51" s="59"/>
      <c r="R51" s="633" t="s">
        <v>761</v>
      </c>
      <c r="S51" s="313">
        <f>スコア!Q25</f>
        <v>5</v>
      </c>
      <c r="T51" s="307" t="str">
        <f>IF(S51=0,"N.A.","")</f>
        <v/>
      </c>
      <c r="U51" s="306" t="s">
        <v>352</v>
      </c>
      <c r="V51" s="293">
        <f>スコア!Q51</f>
        <v>4.5999999999999996</v>
      </c>
      <c r="W51" s="307" t="str">
        <f>IF(V51=0,"N.A.","")</f>
        <v/>
      </c>
      <c r="X51" s="633" t="s">
        <v>762</v>
      </c>
      <c r="Y51" s="293">
        <f>スコア!Q65</f>
        <v>5</v>
      </c>
      <c r="Z51" s="307" t="str">
        <f>IF(Y51=0,"N.A.","")</f>
        <v/>
      </c>
      <c r="AA51" s="308"/>
      <c r="AB51" s="308"/>
    </row>
    <row r="52" spans="1:28" ht="13.8">
      <c r="A52" s="59"/>
      <c r="B52" s="72"/>
      <c r="C52" s="62"/>
      <c r="D52" s="63"/>
      <c r="E52" s="64"/>
      <c r="F52" s="289"/>
      <c r="G52" s="58">
        <f>S56</f>
        <v>3.9</v>
      </c>
      <c r="H52" s="289"/>
      <c r="I52" s="65"/>
      <c r="J52" s="289"/>
      <c r="K52" s="763">
        <f>V56</f>
        <v>3.4</v>
      </c>
      <c r="L52" s="289"/>
      <c r="M52" s="289"/>
      <c r="N52" s="58"/>
      <c r="O52" s="764">
        <f>Y56</f>
        <v>4.3</v>
      </c>
      <c r="P52" s="59"/>
      <c r="R52" s="633" t="s">
        <v>763</v>
      </c>
      <c r="S52" s="313">
        <f>スコア!Q28</f>
        <v>5</v>
      </c>
      <c r="T52" s="307" t="str">
        <f>IF(S52=0,"N.A.","")</f>
        <v/>
      </c>
      <c r="U52" s="308"/>
      <c r="V52" s="308"/>
      <c r="W52" s="308"/>
      <c r="X52" s="306" t="str">
        <f>重み!C66</f>
        <v>地域の資源の活用と住文化の継承</v>
      </c>
      <c r="Y52" s="293">
        <f>スコア!Q66</f>
        <v>3</v>
      </c>
      <c r="Z52" s="307" t="str">
        <f>IF(Y52=0,"N.A.","")</f>
        <v/>
      </c>
      <c r="AA52" s="308"/>
      <c r="AB52" s="308"/>
    </row>
    <row r="53" spans="1:28" ht="13.8">
      <c r="A53" s="59"/>
      <c r="B53" s="72"/>
      <c r="C53" s="53"/>
      <c r="D53" s="53"/>
      <c r="E53" s="73"/>
      <c r="F53" s="52"/>
      <c r="G53" s="52"/>
      <c r="H53" s="52"/>
      <c r="I53" s="51"/>
      <c r="J53" s="51"/>
      <c r="K53" s="50"/>
      <c r="L53" s="50"/>
      <c r="M53" s="54"/>
      <c r="N53" s="54"/>
      <c r="O53" s="74"/>
      <c r="P53" s="59"/>
      <c r="R53" s="308"/>
      <c r="S53" s="308"/>
      <c r="T53" s="308"/>
      <c r="U53" s="308"/>
      <c r="V53" s="308"/>
      <c r="W53" s="308"/>
      <c r="X53" s="308"/>
      <c r="Y53" s="308"/>
      <c r="Z53" s="308"/>
      <c r="AA53" s="308"/>
      <c r="AB53" s="308"/>
    </row>
    <row r="54" spans="1:28" ht="15.75" customHeight="1">
      <c r="A54" s="59"/>
      <c r="B54" s="72"/>
      <c r="C54" s="54"/>
      <c r="D54" s="75"/>
      <c r="E54" s="49"/>
      <c r="F54" s="50"/>
      <c r="G54" s="50"/>
      <c r="H54" s="50"/>
      <c r="I54" s="76"/>
      <c r="J54" s="51"/>
      <c r="K54" s="50"/>
      <c r="L54" s="50"/>
      <c r="M54" s="54"/>
      <c r="N54" s="54"/>
      <c r="O54" s="74"/>
      <c r="P54" s="59"/>
      <c r="S54" s="289"/>
      <c r="AA54" s="308"/>
      <c r="AB54" s="308"/>
    </row>
    <row r="55" spans="1:28" ht="15.75" customHeight="1">
      <c r="A55" s="59"/>
      <c r="B55" s="72"/>
      <c r="C55" s="47"/>
      <c r="D55" s="48"/>
      <c r="E55" s="49"/>
      <c r="F55" s="50"/>
      <c r="G55" s="50"/>
      <c r="H55" s="50"/>
      <c r="I55" s="76"/>
      <c r="J55" s="51"/>
      <c r="K55" s="50"/>
      <c r="L55" s="50"/>
      <c r="M55" s="54"/>
      <c r="N55" s="54"/>
      <c r="O55" s="74"/>
      <c r="P55" s="59"/>
      <c r="R55" s="307"/>
      <c r="S55" s="307" t="s">
        <v>764</v>
      </c>
      <c r="T55" s="307" t="s">
        <v>765</v>
      </c>
      <c r="U55" s="307"/>
      <c r="V55" s="307" t="s">
        <v>764</v>
      </c>
      <c r="W55" s="307" t="s">
        <v>765</v>
      </c>
      <c r="X55" s="307"/>
      <c r="Y55" s="307" t="s">
        <v>764</v>
      </c>
      <c r="Z55" s="307" t="s">
        <v>765</v>
      </c>
      <c r="AA55" s="308"/>
      <c r="AB55" s="308"/>
    </row>
    <row r="56" spans="1:28" ht="15.75" customHeight="1">
      <c r="A56" s="59"/>
      <c r="B56" s="77"/>
      <c r="C56" s="47"/>
      <c r="D56" s="48"/>
      <c r="E56" s="49"/>
      <c r="F56" s="50"/>
      <c r="G56" s="50"/>
      <c r="H56" s="50"/>
      <c r="I56" s="76"/>
      <c r="J56" s="51"/>
      <c r="K56" s="50"/>
      <c r="L56" s="50"/>
      <c r="M56" s="54"/>
      <c r="N56" s="54"/>
      <c r="O56" s="74"/>
      <c r="P56" s="59"/>
      <c r="R56" s="306" t="s">
        <v>766</v>
      </c>
      <c r="S56" s="293">
        <f>スコア!Q68</f>
        <v>3.9</v>
      </c>
      <c r="T56" s="293">
        <f>スコア!W68</f>
        <v>3.9624999999999999</v>
      </c>
      <c r="U56" s="306" t="s">
        <v>345</v>
      </c>
      <c r="V56" s="305">
        <f>スコア!Q79</f>
        <v>3.4</v>
      </c>
      <c r="W56" s="305">
        <f>スコア!W79</f>
        <v>3.4800000000000009</v>
      </c>
      <c r="X56" s="306" t="s">
        <v>218</v>
      </c>
      <c r="Y56" s="293">
        <f>スコア!Q96</f>
        <v>4.3</v>
      </c>
      <c r="Z56" s="293">
        <f>スコア!W96</f>
        <v>4.333333333333333</v>
      </c>
      <c r="AA56" s="308"/>
      <c r="AB56" s="308"/>
    </row>
    <row r="57" spans="1:28" ht="15.75" customHeight="1">
      <c r="A57" s="59"/>
      <c r="B57" s="77"/>
      <c r="C57" s="47"/>
      <c r="D57" s="48"/>
      <c r="E57" s="49"/>
      <c r="F57" s="50"/>
      <c r="G57" s="50"/>
      <c r="H57" s="50"/>
      <c r="I57" s="76"/>
      <c r="J57" s="51"/>
      <c r="K57" s="50"/>
      <c r="L57" s="50"/>
      <c r="M57" s="54"/>
      <c r="N57" s="54"/>
      <c r="O57" s="74"/>
      <c r="P57" s="59"/>
      <c r="S57" s="289"/>
      <c r="Y57" s="378"/>
      <c r="AA57" s="308"/>
      <c r="AB57" s="308"/>
    </row>
    <row r="58" spans="1:28" ht="15.75" customHeight="1">
      <c r="A58" s="59"/>
      <c r="B58" s="77"/>
      <c r="C58" s="47"/>
      <c r="D58" s="48"/>
      <c r="E58" s="49"/>
      <c r="F58" s="50"/>
      <c r="G58" s="50"/>
      <c r="H58" s="50"/>
      <c r="I58" s="76"/>
      <c r="J58" s="51"/>
      <c r="K58" s="50"/>
      <c r="L58" s="50"/>
      <c r="M58" s="54"/>
      <c r="N58" s="54"/>
      <c r="O58" s="74"/>
      <c r="P58" s="59"/>
      <c r="R58" s="307"/>
      <c r="S58" s="307" t="s">
        <v>767</v>
      </c>
      <c r="T58" s="307" t="s">
        <v>768</v>
      </c>
      <c r="U58" s="307"/>
      <c r="V58" s="307" t="s">
        <v>767</v>
      </c>
      <c r="W58" s="307" t="s">
        <v>768</v>
      </c>
      <c r="X58" s="307"/>
      <c r="Y58" s="377" t="s">
        <v>767</v>
      </c>
      <c r="Z58" s="307" t="s">
        <v>768</v>
      </c>
      <c r="AA58" s="308"/>
      <c r="AB58" s="308"/>
    </row>
    <row r="59" spans="1:28" ht="15.75" customHeight="1">
      <c r="A59" s="59"/>
      <c r="B59" s="77"/>
      <c r="C59" s="47"/>
      <c r="D59" s="48"/>
      <c r="E59" s="49"/>
      <c r="F59" s="50"/>
      <c r="G59" s="50"/>
      <c r="H59" s="50"/>
      <c r="I59" s="76"/>
      <c r="J59" s="51"/>
      <c r="K59" s="50"/>
      <c r="L59" s="50"/>
      <c r="M59" s="54"/>
      <c r="N59" s="54"/>
      <c r="O59" s="74"/>
      <c r="P59" s="59"/>
      <c r="R59" s="1362" t="s">
        <v>627</v>
      </c>
      <c r="S59" s="312">
        <f>スコア!Q69</f>
        <v>4</v>
      </c>
      <c r="T59" s="307" t="str">
        <f>IF(S59=0,"N.A.","")</f>
        <v/>
      </c>
      <c r="U59" s="756" t="s">
        <v>769</v>
      </c>
      <c r="V59" s="293">
        <f>スコア!Q80</f>
        <v>3.8</v>
      </c>
      <c r="W59" s="307" t="str">
        <f>IF(V59=0,"N.A.","")</f>
        <v/>
      </c>
      <c r="X59" s="306" t="s">
        <v>132</v>
      </c>
      <c r="Y59" s="293">
        <f>スコア!Q97</f>
        <v>4</v>
      </c>
      <c r="Z59" s="307" t="str">
        <f>IF(Y59=0,"N.A.","")</f>
        <v/>
      </c>
      <c r="AA59" s="308"/>
      <c r="AB59" s="308"/>
    </row>
    <row r="60" spans="1:28" ht="15.75" customHeight="1" thickBot="1">
      <c r="A60" s="59"/>
      <c r="B60" s="78"/>
      <c r="C60" s="79"/>
      <c r="D60" s="80"/>
      <c r="E60" s="79"/>
      <c r="F60" s="46"/>
      <c r="G60" s="46"/>
      <c r="H60" s="46"/>
      <c r="I60" s="81"/>
      <c r="J60" s="82"/>
      <c r="K60" s="82"/>
      <c r="L60" s="82"/>
      <c r="M60" s="83"/>
      <c r="N60" s="83"/>
      <c r="O60" s="84"/>
      <c r="P60" s="59"/>
      <c r="R60" s="306" t="s">
        <v>770</v>
      </c>
      <c r="S60" s="312">
        <f>スコア!Q73</f>
        <v>3.7</v>
      </c>
      <c r="T60" s="307" t="str">
        <f>IF(S60=0,"N.A.","")</f>
        <v/>
      </c>
      <c r="U60" s="756" t="s">
        <v>480</v>
      </c>
      <c r="V60" s="293">
        <f>スコア!Q89</f>
        <v>2.2999999999999998</v>
      </c>
      <c r="W60" s="307" t="str">
        <f>IF(V60=0,"N.A.","")</f>
        <v/>
      </c>
      <c r="X60" s="306" t="s">
        <v>133</v>
      </c>
      <c r="Y60" s="293">
        <f>スコア!Q98</f>
        <v>4</v>
      </c>
      <c r="Z60" s="307" t="str">
        <f>IF(Y60=0,"N.A.","")</f>
        <v/>
      </c>
      <c r="AA60" s="308"/>
      <c r="AB60" s="308"/>
    </row>
    <row r="61" spans="1:28" ht="8.25" customHeight="1" thickBot="1">
      <c r="A61" s="59"/>
      <c r="B61" s="85"/>
      <c r="C61" s="76"/>
      <c r="D61" s="86"/>
      <c r="E61" s="49"/>
      <c r="F61" s="50"/>
      <c r="G61" s="50"/>
      <c r="H61" s="50"/>
      <c r="I61" s="51"/>
      <c r="J61" s="51"/>
      <c r="K61" s="50"/>
      <c r="L61" s="50"/>
      <c r="M61" s="54"/>
      <c r="N61" s="54"/>
      <c r="O61" s="83"/>
      <c r="P61" s="59"/>
      <c r="R61" s="306" t="s">
        <v>772</v>
      </c>
      <c r="S61" s="312">
        <f>スコア!Q76</f>
        <v>4</v>
      </c>
      <c r="T61" s="307" t="str">
        <f>IF(S61=0,"N.A.","")</f>
        <v/>
      </c>
      <c r="U61" s="306" t="s">
        <v>771</v>
      </c>
      <c r="V61" s="293">
        <f>スコア!Q93</f>
        <v>5</v>
      </c>
      <c r="W61" s="307" t="str">
        <f>IF(V61=0,"N.A.","")</f>
        <v/>
      </c>
      <c r="X61" s="306" t="s">
        <v>134</v>
      </c>
      <c r="Y61" s="293">
        <f>スコア!Q101</f>
        <v>5</v>
      </c>
      <c r="Z61" s="307" t="str">
        <f>IF(Y61=0,"N.A.","")</f>
        <v/>
      </c>
      <c r="AA61" s="308"/>
      <c r="AB61" s="308"/>
    </row>
    <row r="62" spans="1:28" ht="15.6">
      <c r="A62" s="59"/>
      <c r="B62" s="339" t="s">
        <v>235</v>
      </c>
      <c r="C62" s="598"/>
      <c r="D62" s="599"/>
      <c r="E62" s="598"/>
      <c r="F62" s="598"/>
      <c r="G62" s="598"/>
      <c r="H62" s="600"/>
      <c r="I62" s="601"/>
      <c r="J62" s="598"/>
      <c r="K62" s="598"/>
      <c r="L62" s="598"/>
      <c r="M62" s="602"/>
      <c r="N62" s="602"/>
      <c r="O62" s="603"/>
      <c r="P62" s="59"/>
      <c r="S62" s="289"/>
      <c r="U62" s="308"/>
      <c r="V62" s="311"/>
      <c r="W62" s="308"/>
      <c r="X62" s="308"/>
      <c r="Y62" s="308"/>
      <c r="Z62" s="308"/>
      <c r="AA62" s="308"/>
      <c r="AB62" s="308"/>
    </row>
    <row r="63" spans="1:28" ht="13.8">
      <c r="A63" s="59"/>
      <c r="B63" s="772" t="s">
        <v>813</v>
      </c>
      <c r="C63" s="766"/>
      <c r="D63" s="767"/>
      <c r="E63" s="766"/>
      <c r="F63" s="766"/>
      <c r="G63" s="766"/>
      <c r="H63" s="766"/>
      <c r="I63" s="766"/>
      <c r="J63" s="766"/>
      <c r="K63" s="768"/>
      <c r="L63" s="769" t="s">
        <v>814</v>
      </c>
      <c r="M63" s="770"/>
      <c r="N63" s="770"/>
      <c r="O63" s="771"/>
      <c r="P63" s="59"/>
      <c r="R63" s="308"/>
      <c r="S63" s="308"/>
      <c r="T63" s="308"/>
      <c r="U63" s="308"/>
      <c r="V63" s="311"/>
      <c r="W63" s="308"/>
      <c r="X63" s="308"/>
      <c r="Y63" s="308"/>
      <c r="Z63" s="308"/>
      <c r="AA63" s="308"/>
      <c r="AB63" s="308"/>
    </row>
    <row r="64" spans="1:28" ht="52.5" customHeight="1">
      <c r="A64" s="59"/>
      <c r="B64" s="2853" t="str">
        <f>IF(配慮!C4="","",配慮!C4)</f>
        <v>青森県独自基準「あおもりＧＸ住宅」の基準にのっとり環境設計が十分配慮されている</v>
      </c>
      <c r="C64" s="2854"/>
      <c r="D64" s="2854"/>
      <c r="E64" s="2854"/>
      <c r="F64" s="2854"/>
      <c r="G64" s="2854"/>
      <c r="H64" s="2854"/>
      <c r="I64" s="2854"/>
      <c r="J64" s="2854"/>
      <c r="K64" s="2855"/>
      <c r="L64" s="2856" t="str">
        <f>IF(配慮!C11="","",配慮!C11)</f>
        <v/>
      </c>
      <c r="M64" s="2856"/>
      <c r="N64" s="2856"/>
      <c r="O64" s="2857"/>
      <c r="P64" s="59"/>
      <c r="R64" s="379"/>
      <c r="S64" s="308"/>
      <c r="T64" s="308"/>
      <c r="U64" s="308"/>
      <c r="V64" s="311"/>
      <c r="W64" s="308"/>
      <c r="X64" s="308"/>
      <c r="Y64" s="308"/>
      <c r="Z64" s="308"/>
      <c r="AA64" s="308"/>
      <c r="AB64" s="308"/>
    </row>
    <row r="65" spans="1:28" ht="13.8">
      <c r="A65" s="59"/>
      <c r="B65" s="773" t="s">
        <v>168</v>
      </c>
      <c r="C65" s="770"/>
      <c r="D65" s="770"/>
      <c r="E65" s="770"/>
      <c r="F65" s="770"/>
      <c r="G65" s="774"/>
      <c r="H65" s="775" t="s">
        <v>169</v>
      </c>
      <c r="I65" s="776"/>
      <c r="J65" s="776"/>
      <c r="K65" s="777"/>
      <c r="L65" s="778" t="s">
        <v>170</v>
      </c>
      <c r="M65" s="779"/>
      <c r="N65" s="780"/>
      <c r="O65" s="781"/>
      <c r="P65" s="59"/>
      <c r="R65" s="308"/>
      <c r="S65" s="308"/>
      <c r="T65" s="308"/>
      <c r="U65" s="308"/>
      <c r="V65" s="308"/>
      <c r="W65" s="308"/>
      <c r="X65" s="308"/>
      <c r="Y65" s="308"/>
      <c r="Z65" s="308"/>
      <c r="AA65" s="308"/>
      <c r="AB65" s="308"/>
    </row>
    <row r="66" spans="1:28" ht="50.25" customHeight="1">
      <c r="A66" s="59"/>
      <c r="B66" s="2858" t="str">
        <f>IF(配慮!C5="","",配慮!C5)</f>
        <v>青森県独自基準「あおもりＧＸ住宅」の推奨基準に適し、等級６、一次エネルギー量削減率が３０％以上削減と高い性能を実現している</v>
      </c>
      <c r="C66" s="2856"/>
      <c r="D66" s="2856"/>
      <c r="E66" s="2856"/>
      <c r="F66" s="2856"/>
      <c r="G66" s="2859"/>
      <c r="H66" s="2860" t="str">
        <f>IF(配慮!C6="","",配慮!C6)</f>
        <v>一定の配慮をしている</v>
      </c>
      <c r="I66" s="2856"/>
      <c r="J66" s="2856"/>
      <c r="K66" s="2859"/>
      <c r="L66" s="2860" t="str">
        <f>IF(配慮!C7="","",配慮!C7)</f>
        <v>一定の配慮をしている</v>
      </c>
      <c r="M66" s="2856"/>
      <c r="N66" s="2856"/>
      <c r="O66" s="2857"/>
      <c r="P66" s="59"/>
      <c r="R66" s="308"/>
      <c r="S66" s="308"/>
      <c r="T66" s="308"/>
      <c r="U66" s="308"/>
      <c r="V66" s="308"/>
      <c r="W66" s="308"/>
      <c r="X66" s="308"/>
      <c r="Y66" s="308"/>
      <c r="Z66" s="308"/>
      <c r="AA66" s="308"/>
      <c r="AB66" s="308"/>
    </row>
    <row r="67" spans="1:28" ht="13.8">
      <c r="A67" s="59"/>
      <c r="B67" s="782" t="s">
        <v>171</v>
      </c>
      <c r="C67" s="783"/>
      <c r="D67" s="767"/>
      <c r="E67" s="767"/>
      <c r="F67" s="767"/>
      <c r="G67" s="784"/>
      <c r="H67" s="785" t="s">
        <v>172</v>
      </c>
      <c r="I67" s="770"/>
      <c r="J67" s="770"/>
      <c r="K67" s="774"/>
      <c r="L67" s="786" t="s">
        <v>173</v>
      </c>
      <c r="M67" s="783"/>
      <c r="N67" s="767"/>
      <c r="O67" s="787"/>
      <c r="P67" s="59"/>
      <c r="R67" s="308"/>
      <c r="S67" s="308"/>
      <c r="T67" s="308"/>
      <c r="U67" s="308"/>
      <c r="V67" s="308"/>
      <c r="W67" s="308"/>
      <c r="X67" s="308"/>
      <c r="Y67" s="308"/>
      <c r="Z67" s="308"/>
      <c r="AA67" s="308"/>
      <c r="AB67" s="308"/>
    </row>
    <row r="68" spans="1:28" ht="57.75" customHeight="1" thickBot="1">
      <c r="A68" s="59"/>
      <c r="B68" s="2829" t="str">
        <f>IF(配慮!C8="","",配慮!C8)</f>
        <v>住宅の断熱性能のみならず使用されている設備機器にも環境設計が十分配慮されている</v>
      </c>
      <c r="C68" s="2830"/>
      <c r="D68" s="2830"/>
      <c r="E68" s="2830"/>
      <c r="F68" s="2830"/>
      <c r="G68" s="2831"/>
      <c r="H68" s="2847" t="str">
        <f>IF(配慮!C9="","",配慮!C9)</f>
        <v>一定の配慮をしている</v>
      </c>
      <c r="I68" s="2830"/>
      <c r="J68" s="2830"/>
      <c r="K68" s="2831"/>
      <c r="L68" s="2847" t="str">
        <f>IF(配慮!C10="","",配慮!C10)</f>
        <v>一定の配慮をしている</v>
      </c>
      <c r="M68" s="2830"/>
      <c r="N68" s="2830"/>
      <c r="O68" s="2852"/>
      <c r="P68" s="59"/>
      <c r="R68" s="308"/>
      <c r="S68" s="308"/>
      <c r="T68" s="308"/>
      <c r="U68" s="308"/>
      <c r="V68" s="308"/>
      <c r="W68" s="308"/>
      <c r="X68" s="308"/>
      <c r="Y68" s="308"/>
      <c r="Z68" s="308"/>
      <c r="AA68" s="308"/>
      <c r="AB68" s="308"/>
    </row>
    <row r="69" spans="1:28" ht="4.5" customHeight="1">
      <c r="A69" s="59"/>
      <c r="G69" s="382"/>
      <c r="P69" s="59"/>
      <c r="R69" s="308"/>
      <c r="S69" s="308"/>
      <c r="T69" s="308"/>
      <c r="U69" s="308"/>
      <c r="V69" s="308"/>
      <c r="W69" s="308"/>
      <c r="X69" s="308"/>
      <c r="Y69" s="308"/>
      <c r="Z69" s="308"/>
      <c r="AA69" s="308"/>
      <c r="AB69" s="308"/>
    </row>
    <row r="70" spans="1:28" ht="13.8">
      <c r="R70" s="308"/>
      <c r="S70" s="308"/>
      <c r="T70" s="308"/>
      <c r="U70" s="308"/>
      <c r="V70" s="308"/>
      <c r="W70" s="308"/>
      <c r="X70" s="308"/>
      <c r="Y70" s="308"/>
      <c r="Z70" s="308"/>
      <c r="AA70" s="308"/>
      <c r="AB70" s="308"/>
    </row>
    <row r="71" spans="1:28" ht="14.25" customHeight="1">
      <c r="R71" s="308"/>
      <c r="S71" s="308"/>
      <c r="T71" s="308"/>
      <c r="U71" s="308"/>
      <c r="V71" s="308"/>
      <c r="W71" s="308"/>
      <c r="X71" s="308"/>
      <c r="Y71" s="308"/>
      <c r="Z71" s="308"/>
      <c r="AA71" s="308"/>
      <c r="AB71" s="308"/>
    </row>
    <row r="72" spans="1:28" ht="14.25" customHeight="1">
      <c r="R72" s="308"/>
      <c r="S72" s="308"/>
      <c r="T72" s="308"/>
      <c r="U72" s="308"/>
      <c r="V72" s="308"/>
      <c r="W72" s="308"/>
      <c r="X72" s="308"/>
      <c r="Y72" s="308"/>
      <c r="Z72" s="308"/>
      <c r="AA72" s="308"/>
      <c r="AB72" s="308"/>
    </row>
    <row r="73" spans="1:28" ht="14.25" customHeight="1"/>
    <row r="74" spans="1:28" ht="14.25" customHeight="1"/>
    <row r="75" spans="1:28" ht="14.25" customHeight="1"/>
    <row r="76" spans="1:28" ht="14.25" hidden="1" customHeight="1"/>
    <row r="77" spans="1:28" ht="14.25" hidden="1" customHeight="1"/>
  </sheetData>
  <sheetProtection sheet="1" objects="1" scenarios="1"/>
  <mergeCells count="23">
    <mergeCell ref="D9:F9"/>
    <mergeCell ref="D8:F8"/>
    <mergeCell ref="Q2:Q5"/>
    <mergeCell ref="G17:G18"/>
    <mergeCell ref="G13:G14"/>
    <mergeCell ref="H12:K14"/>
    <mergeCell ref="L68:O68"/>
    <mergeCell ref="B64:K64"/>
    <mergeCell ref="L64:O64"/>
    <mergeCell ref="B66:G66"/>
    <mergeCell ref="H66:K66"/>
    <mergeCell ref="L66:O66"/>
    <mergeCell ref="H35:K37"/>
    <mergeCell ref="D19:F19"/>
    <mergeCell ref="B68:G68"/>
    <mergeCell ref="D10:F10"/>
    <mergeCell ref="D11:F11"/>
    <mergeCell ref="D12:F12"/>
    <mergeCell ref="D13:F13"/>
    <mergeCell ref="D14:F14"/>
    <mergeCell ref="H68:K68"/>
    <mergeCell ref="H32:H33"/>
    <mergeCell ref="D15:F15"/>
  </mergeCells>
  <phoneticPr fontId="4"/>
  <conditionalFormatting sqref="H26:H32 I26:K34 H34">
    <cfRule type="expression" dxfId="165" priority="1" stopIfTrue="1">
      <formula>$U$36=$W$37</formula>
    </cfRule>
  </conditionalFormatting>
  <hyperlinks>
    <hyperlink ref="Q2" location="メイン!A1" display="戻る" xr:uid="{00000000-0004-0000-0500-000000000000}"/>
  </hyperlinks>
  <printOptions horizontalCentered="1"/>
  <pageMargins left="0.70866141732283472" right="0.62992125984251968" top="0.78740157480314965" bottom="0.78740157480314965" header="0.51181102362204722" footer="0.51181102362204722"/>
  <pageSetup paperSize="9" scale="67" orientation="portrait" horizontalDpi="4294967293" verticalDpi="4294967293" r:id="rId1"/>
  <headerFooter alignWithMargins="0">
    <oddHeader>&amp;L&amp;F&amp;R&amp;A</oddHeader>
    <oddFooter>&amp;C&amp;P/&amp;N</oddFooter>
  </headerFooter>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49619-C763-41B6-84E3-A3FF9C5CC9BA}">
  <sheetPr codeName="Sheet20">
    <pageSetUpPr fitToPage="1"/>
  </sheetPr>
  <dimension ref="A1:AS77"/>
  <sheetViews>
    <sheetView showGridLines="0" topLeftCell="A9" zoomScaleNormal="100" workbookViewId="0">
      <selection activeCell="H38" sqref="H38"/>
    </sheetView>
  </sheetViews>
  <sheetFormatPr defaultColWidth="0" defaultRowHeight="0" customHeight="1" zeroHeight="1"/>
  <cols>
    <col min="1" max="1" width="0.77734375" style="308" customWidth="1"/>
    <col min="2" max="2" width="2.109375" style="383" customWidth="1"/>
    <col min="3" max="3" width="13.33203125" style="383" customWidth="1"/>
    <col min="4" max="4" width="5.33203125" style="384" customWidth="1"/>
    <col min="5" max="5" width="6.77734375" style="385" customWidth="1"/>
    <col min="6" max="6" width="8.21875" style="380" customWidth="1"/>
    <col min="7" max="7" width="8.33203125" style="380" customWidth="1"/>
    <col min="8" max="8" width="9.6640625" style="380" customWidth="1"/>
    <col min="9" max="9" width="6.109375" style="381" customWidth="1"/>
    <col min="10" max="10" width="13.88671875" style="381" customWidth="1"/>
    <col min="11" max="11" width="14.44140625" style="380" customWidth="1"/>
    <col min="12" max="12" width="10.77734375" style="380" customWidth="1"/>
    <col min="13" max="15" width="10.77734375" style="314" customWidth="1"/>
    <col min="16" max="16" width="1.33203125" style="308" customWidth="1"/>
    <col min="17" max="17" width="4.44140625" style="308" customWidth="1"/>
    <col min="18" max="18" width="8.88671875" style="289" hidden="1" customWidth="1"/>
    <col min="19" max="19" width="8.88671875" style="290" hidden="1" customWidth="1"/>
    <col min="20" max="21" width="8.88671875" style="289" hidden="1" customWidth="1"/>
    <col min="22" max="22" width="17" style="289" hidden="1" customWidth="1"/>
    <col min="23" max="45" width="0" style="289" hidden="1" customWidth="1"/>
    <col min="46" max="16384" width="8.88671875" style="289" hidden="1"/>
  </cols>
  <sheetData>
    <row r="1" spans="1:28" s="287" customFormat="1" ht="6" customHeight="1" thickBot="1">
      <c r="A1" s="364"/>
      <c r="B1" s="365"/>
      <c r="C1" s="366"/>
      <c r="D1" s="367"/>
      <c r="E1" s="364"/>
      <c r="F1" s="267"/>
      <c r="G1" s="267"/>
      <c r="H1" s="267"/>
      <c r="I1" s="336"/>
      <c r="J1" s="336"/>
      <c r="K1" s="267"/>
      <c r="L1" s="368"/>
      <c r="M1" s="364"/>
      <c r="N1" s="364"/>
      <c r="O1" s="364"/>
      <c r="P1" s="364"/>
      <c r="Q1" s="369"/>
      <c r="S1" s="288"/>
    </row>
    <row r="2" spans="1:28" ht="15.75" customHeight="1" thickTop="1">
      <c r="A2" s="59"/>
      <c r="B2" s="623"/>
      <c r="C2" s="624"/>
      <c r="D2" s="48"/>
      <c r="E2" s="49"/>
      <c r="F2" s="289"/>
      <c r="G2" s="289"/>
      <c r="H2" s="289"/>
      <c r="I2" s="621"/>
      <c r="J2" s="621"/>
      <c r="K2" s="621"/>
      <c r="L2" s="621"/>
      <c r="M2" s="621"/>
      <c r="N2" s="289"/>
      <c r="O2" s="29"/>
      <c r="P2" s="59"/>
      <c r="Q2" s="2867" t="s">
        <v>67</v>
      </c>
      <c r="S2" s="289"/>
    </row>
    <row r="3" spans="1:28" ht="30" customHeight="1">
      <c r="A3" s="59"/>
      <c r="B3" s="620"/>
      <c r="C3" s="620"/>
      <c r="D3" s="620"/>
      <c r="E3" s="620"/>
      <c r="F3" s="289"/>
      <c r="G3" s="289"/>
      <c r="H3" s="289"/>
      <c r="I3" s="621"/>
      <c r="J3" s="621"/>
      <c r="K3" s="621"/>
      <c r="L3" s="621"/>
      <c r="M3" s="621"/>
      <c r="N3" s="289"/>
      <c r="O3" s="289"/>
      <c r="P3" s="59"/>
      <c r="Q3" s="2868"/>
      <c r="S3" s="289"/>
    </row>
    <row r="4" spans="1:28" ht="12" customHeight="1">
      <c r="A4" s="59"/>
      <c r="B4" s="620"/>
      <c r="C4" s="620"/>
      <c r="D4" s="620"/>
      <c r="E4" s="620"/>
      <c r="F4" s="289"/>
      <c r="G4" s="289"/>
      <c r="H4" s="289"/>
      <c r="I4" s="621"/>
      <c r="J4" s="621"/>
      <c r="K4" s="621"/>
      <c r="L4" s="621"/>
      <c r="M4" s="621"/>
      <c r="N4" s="289"/>
      <c r="O4" s="19"/>
      <c r="P4" s="59"/>
      <c r="Q4" s="2868"/>
      <c r="S4" s="289"/>
    </row>
    <row r="5" spans="1:28" ht="13.5" customHeight="1" thickBot="1">
      <c r="A5" s="59"/>
      <c r="B5" s="625"/>
      <c r="C5" s="47"/>
      <c r="D5" s="48"/>
      <c r="E5" s="49"/>
      <c r="F5" s="289"/>
      <c r="G5" s="883" t="s">
        <v>942</v>
      </c>
      <c r="H5" s="1324"/>
      <c r="I5" s="1324"/>
      <c r="J5" s="289"/>
      <c r="K5" s="2483" t="str">
        <f>メイン!C6</f>
        <v>CASBEE-戸建（新築）2025年版</v>
      </c>
      <c r="L5" s="21" t="s">
        <v>1066</v>
      </c>
      <c r="M5" s="730"/>
      <c r="N5" s="289"/>
      <c r="O5" s="2482" t="str">
        <f>メイン!C5</f>
        <v>CASBEE-DH_NC_2025v1.0</v>
      </c>
      <c r="P5" s="59"/>
      <c r="Q5" s="2869"/>
      <c r="S5" s="289"/>
    </row>
    <row r="6" spans="1:28" ht="3" customHeight="1" thickTop="1" thickBot="1">
      <c r="A6" s="59"/>
      <c r="B6" s="52"/>
      <c r="C6" s="52"/>
      <c r="D6" s="53"/>
      <c r="E6" s="54"/>
      <c r="F6" s="54"/>
      <c r="G6" s="54"/>
      <c r="H6" s="54"/>
      <c r="I6" s="54"/>
      <c r="J6" s="54"/>
      <c r="K6" s="54"/>
      <c r="L6" s="54"/>
      <c r="M6" s="54"/>
      <c r="N6" s="54"/>
      <c r="O6" s="54"/>
      <c r="P6" s="59"/>
      <c r="S6" s="289"/>
    </row>
    <row r="7" spans="1:28" ht="19.5" customHeight="1" thickBot="1">
      <c r="A7" s="59"/>
      <c r="B7" s="679" t="s">
        <v>221</v>
      </c>
      <c r="C7" s="678"/>
      <c r="D7" s="680"/>
      <c r="E7" s="678"/>
      <c r="F7" s="678"/>
      <c r="G7" s="678"/>
      <c r="H7" s="678"/>
      <c r="I7" s="678"/>
      <c r="J7" s="678"/>
      <c r="K7" s="678"/>
      <c r="L7" s="707" t="s">
        <v>301</v>
      </c>
      <c r="M7" s="291"/>
      <c r="N7" s="291"/>
      <c r="O7" s="292"/>
      <c r="P7" s="59"/>
      <c r="R7" s="754" t="s">
        <v>123</v>
      </c>
      <c r="S7" s="308"/>
      <c r="T7" s="308"/>
      <c r="U7" s="754" t="s">
        <v>114</v>
      </c>
      <c r="AB7" s="308"/>
    </row>
    <row r="8" spans="1:28" ht="15.75" customHeight="1">
      <c r="A8" s="59"/>
      <c r="B8" s="690" t="s">
        <v>183</v>
      </c>
      <c r="C8" s="691"/>
      <c r="D8" s="2864" t="str">
        <f>メイン!C10</f>
        <v>あおもりGX</v>
      </c>
      <c r="E8" s="2865"/>
      <c r="F8" s="2866"/>
      <c r="G8" s="797" t="str">
        <f>IF(メイン!E10="","",メイン!E10)</f>
        <v/>
      </c>
      <c r="H8" s="687" t="s">
        <v>175</v>
      </c>
      <c r="I8" s="370"/>
      <c r="J8" s="724" t="s">
        <v>232</v>
      </c>
      <c r="K8" s="721" t="str">
        <f>メイン!C26</f>
        <v>一部確定</v>
      </c>
      <c r="L8" s="386"/>
      <c r="M8" s="386"/>
      <c r="N8" s="386"/>
      <c r="O8" s="387"/>
      <c r="P8" s="59"/>
      <c r="R8" s="307" t="s">
        <v>873</v>
      </c>
      <c r="S8" s="307">
        <f>スコア!W8</f>
        <v>4.2097499999999997</v>
      </c>
      <c r="T8" s="308"/>
      <c r="U8" s="304"/>
      <c r="V8" s="306"/>
      <c r="W8" s="741" t="s">
        <v>108</v>
      </c>
      <c r="X8" s="741">
        <v>4</v>
      </c>
      <c r="Y8" s="741">
        <v>2</v>
      </c>
      <c r="Z8" s="307" t="s">
        <v>742</v>
      </c>
      <c r="AA8" s="374" t="s">
        <v>200</v>
      </c>
      <c r="AB8" s="308"/>
    </row>
    <row r="9" spans="1:28" ht="15.75" customHeight="1">
      <c r="A9" s="59"/>
      <c r="B9" s="693" t="s">
        <v>112</v>
      </c>
      <c r="C9" s="694"/>
      <c r="D9" s="2861">
        <f>メイン!C12</f>
        <v>46023</v>
      </c>
      <c r="E9" s="2862"/>
      <c r="F9" s="2863"/>
      <c r="G9" s="2484" t="str">
        <f>メイン!E12</f>
        <v>予定</v>
      </c>
      <c r="H9" s="689"/>
      <c r="I9" s="289"/>
      <c r="J9" s="725" t="s">
        <v>233</v>
      </c>
      <c r="K9" s="722" t="str">
        <f>IF(メイン!C11=メイン!I10,メイン!C27,"―")</f>
        <v>仮</v>
      </c>
      <c r="L9" s="386"/>
      <c r="M9" s="386"/>
      <c r="N9" s="386"/>
      <c r="O9" s="387"/>
      <c r="P9" s="59"/>
      <c r="R9" s="307" t="s">
        <v>874</v>
      </c>
      <c r="S9" s="307">
        <f>スコア!W67</f>
        <v>3.9048749999999997</v>
      </c>
      <c r="T9" s="308"/>
      <c r="U9" s="307" t="s">
        <v>115</v>
      </c>
      <c r="V9" s="627" t="s">
        <v>743</v>
      </c>
      <c r="W9" s="741">
        <v>5</v>
      </c>
      <c r="X9" s="741">
        <v>4</v>
      </c>
      <c r="Y9" s="741">
        <v>2</v>
      </c>
      <c r="Z9" s="309">
        <f>V46</f>
        <v>3.9</v>
      </c>
      <c r="AA9" s="374">
        <v>3</v>
      </c>
      <c r="AB9" s="308"/>
    </row>
    <row r="10" spans="1:28" ht="15.75" customHeight="1">
      <c r="A10" s="59"/>
      <c r="B10" s="689" t="s">
        <v>192</v>
      </c>
      <c r="C10" s="682"/>
      <c r="D10" s="2832">
        <f>メイン!C13</f>
        <v>0</v>
      </c>
      <c r="E10" s="2833"/>
      <c r="F10" s="2834"/>
      <c r="G10" s="726"/>
      <c r="H10" s="688"/>
      <c r="I10" s="289"/>
      <c r="J10" s="725" t="s">
        <v>234</v>
      </c>
      <c r="K10" s="727" t="str">
        <f>メイン!C28</f>
        <v>仮</v>
      </c>
      <c r="L10" s="1129"/>
      <c r="M10" s="388"/>
      <c r="N10" s="388"/>
      <c r="O10" s="387"/>
      <c r="P10" s="59"/>
      <c r="R10" s="307" t="s">
        <v>189</v>
      </c>
      <c r="S10" s="307">
        <f>25*(S8-1)</f>
        <v>80.243749999999991</v>
      </c>
      <c r="T10" s="308"/>
      <c r="U10" s="307" t="s">
        <v>116</v>
      </c>
      <c r="V10" s="611" t="s">
        <v>744</v>
      </c>
      <c r="W10" s="741">
        <v>5</v>
      </c>
      <c r="X10" s="741">
        <v>4</v>
      </c>
      <c r="Y10" s="741">
        <v>2</v>
      </c>
      <c r="Z10" s="309">
        <f>Y46</f>
        <v>3.8</v>
      </c>
      <c r="AA10" s="374">
        <v>3</v>
      </c>
      <c r="AB10" s="308"/>
    </row>
    <row r="11" spans="1:28" ht="15.75" customHeight="1">
      <c r="A11" s="59"/>
      <c r="B11" s="689" t="s">
        <v>303</v>
      </c>
      <c r="C11" s="683"/>
      <c r="D11" s="2835">
        <f>メイン!C14</f>
        <v>0</v>
      </c>
      <c r="E11" s="2836"/>
      <c r="F11" s="2837"/>
      <c r="G11" s="727" t="str">
        <f>メイン!E13</f>
        <v>確定</v>
      </c>
      <c r="H11" s="884" t="s">
        <v>46</v>
      </c>
      <c r="I11" s="881"/>
      <c r="J11" s="881"/>
      <c r="K11" s="882"/>
      <c r="L11" s="386"/>
      <c r="M11" s="388"/>
      <c r="N11" s="388"/>
      <c r="O11" s="387"/>
      <c r="P11" s="59"/>
      <c r="R11" s="307" t="s">
        <v>354</v>
      </c>
      <c r="S11" s="307">
        <f>25*(5-S9)</f>
        <v>27.378125000000008</v>
      </c>
      <c r="T11" s="308"/>
      <c r="U11" s="307" t="s">
        <v>117</v>
      </c>
      <c r="V11" s="627" t="s">
        <v>216</v>
      </c>
      <c r="W11" s="741">
        <v>5</v>
      </c>
      <c r="X11" s="741">
        <v>4</v>
      </c>
      <c r="Y11" s="741">
        <v>2</v>
      </c>
      <c r="Z11" s="309">
        <f>Y56</f>
        <v>4.3</v>
      </c>
      <c r="AA11" s="374">
        <v>3</v>
      </c>
      <c r="AB11" s="308"/>
    </row>
    <row r="12" spans="1:28" ht="15.75" customHeight="1">
      <c r="A12" s="59"/>
      <c r="B12" s="2479" t="s">
        <v>219</v>
      </c>
      <c r="C12" s="682"/>
      <c r="D12" s="2838" t="str">
        <f>メイン!C15&amp;" 地域"</f>
        <v>3 地域</v>
      </c>
      <c r="E12" s="2839"/>
      <c r="F12" s="2840"/>
      <c r="G12" s="723"/>
      <c r="H12" s="2873" t="str">
        <f>IF(メイン!C29=0,"",メイン!C29)</f>
        <v/>
      </c>
      <c r="I12" s="2874"/>
      <c r="J12" s="2874"/>
      <c r="K12" s="2875"/>
      <c r="L12" s="386"/>
      <c r="M12" s="1128" t="s">
        <v>808</v>
      </c>
      <c r="N12" s="388"/>
      <c r="O12" s="387"/>
      <c r="P12" s="59"/>
      <c r="R12" s="307" t="s">
        <v>355</v>
      </c>
      <c r="S12" s="307">
        <f>S10/S11</f>
        <v>2.930943956169386</v>
      </c>
      <c r="T12" s="308"/>
      <c r="U12" s="307" t="s">
        <v>118</v>
      </c>
      <c r="V12" s="627" t="s">
        <v>730</v>
      </c>
      <c r="W12" s="741">
        <v>5</v>
      </c>
      <c r="X12" s="741">
        <v>4</v>
      </c>
      <c r="Y12" s="741">
        <v>2</v>
      </c>
      <c r="Z12" s="309">
        <f>V56</f>
        <v>3.4</v>
      </c>
      <c r="AA12" s="374">
        <v>3</v>
      </c>
      <c r="AB12" s="308"/>
    </row>
    <row r="13" spans="1:28" ht="15.75" customHeight="1">
      <c r="A13" s="59"/>
      <c r="B13" s="831" t="s">
        <v>227</v>
      </c>
      <c r="C13" s="832"/>
      <c r="D13" s="2841" t="str">
        <f>メイン!C18</f>
        <v>木造</v>
      </c>
      <c r="E13" s="2842"/>
      <c r="F13" s="2843"/>
      <c r="G13" s="2872" t="str">
        <f>メイン!E18</f>
        <v>確定</v>
      </c>
      <c r="H13" s="2873"/>
      <c r="I13" s="2874"/>
      <c r="J13" s="2874"/>
      <c r="K13" s="2875"/>
      <c r="L13" s="386"/>
      <c r="M13" s="1402" t="s">
        <v>962</v>
      </c>
      <c r="N13" s="388"/>
      <c r="O13" s="387"/>
      <c r="P13" s="59"/>
      <c r="R13" s="307" t="s">
        <v>125</v>
      </c>
      <c r="S13" s="751">
        <f>ROUNDDOWN(S12,1)</f>
        <v>2.9</v>
      </c>
      <c r="T13" s="308"/>
      <c r="U13" s="307" t="s">
        <v>119</v>
      </c>
      <c r="V13" s="627" t="s">
        <v>745</v>
      </c>
      <c r="W13" s="741">
        <v>5</v>
      </c>
      <c r="X13" s="741">
        <v>4</v>
      </c>
      <c r="Y13" s="741">
        <v>2</v>
      </c>
      <c r="Z13" s="309">
        <f>S56</f>
        <v>3.9</v>
      </c>
      <c r="AA13" s="374">
        <v>3</v>
      </c>
      <c r="AB13" s="308"/>
    </row>
    <row r="14" spans="1:28" ht="14.4" customHeight="1">
      <c r="A14" s="59"/>
      <c r="B14" s="2474" t="s">
        <v>231</v>
      </c>
      <c r="C14" s="685"/>
      <c r="D14" s="2844">
        <f>メイン!C19</f>
        <v>0</v>
      </c>
      <c r="E14" s="2845"/>
      <c r="F14" s="2846"/>
      <c r="G14" s="2870"/>
      <c r="H14" s="2873"/>
      <c r="I14" s="2874"/>
      <c r="J14" s="2874"/>
      <c r="K14" s="2875"/>
      <c r="L14" s="386"/>
      <c r="M14" s="1402" t="s">
        <v>963</v>
      </c>
      <c r="N14" s="386"/>
      <c r="O14" s="387"/>
      <c r="P14" s="59"/>
      <c r="R14" s="308"/>
      <c r="S14" s="718"/>
      <c r="T14" s="308"/>
      <c r="U14" s="307" t="s">
        <v>120</v>
      </c>
      <c r="V14" s="611" t="s">
        <v>732</v>
      </c>
      <c r="W14" s="741">
        <v>5</v>
      </c>
      <c r="X14" s="741">
        <v>4</v>
      </c>
      <c r="Y14" s="741">
        <v>2</v>
      </c>
      <c r="Z14" s="309">
        <f>S46</f>
        <v>4.5999999999999996</v>
      </c>
      <c r="AA14" s="374">
        <v>3</v>
      </c>
      <c r="AB14" s="308"/>
    </row>
    <row r="15" spans="1:28" ht="14.4" hidden="1" customHeight="1">
      <c r="A15" s="59"/>
      <c r="B15" s="2478" t="s">
        <v>1904</v>
      </c>
      <c r="C15" s="833"/>
      <c r="D15" s="2849">
        <f>メイン!C20</f>
        <v>0</v>
      </c>
      <c r="E15" s="2850"/>
      <c r="F15" s="2851"/>
      <c r="G15" s="727"/>
      <c r="H15" s="2477"/>
      <c r="I15" s="2473"/>
      <c r="J15" s="2473"/>
      <c r="K15" s="2460"/>
      <c r="L15" s="386"/>
      <c r="M15" s="1402"/>
      <c r="N15" s="386"/>
      <c r="O15" s="387"/>
      <c r="P15" s="59"/>
      <c r="R15" s="308"/>
      <c r="S15" s="718"/>
      <c r="T15" s="308"/>
      <c r="U15" s="308"/>
      <c r="V15" s="2476"/>
      <c r="W15" s="2475"/>
      <c r="X15" s="2475"/>
      <c r="Y15" s="2475"/>
      <c r="Z15" s="742"/>
      <c r="AB15" s="308"/>
    </row>
    <row r="16" spans="1:28" ht="13.8">
      <c r="A16" s="59"/>
      <c r="B16" s="736" t="s">
        <v>230</v>
      </c>
      <c r="C16" s="737"/>
      <c r="D16" s="738"/>
      <c r="E16" s="739">
        <f>メイン!C21</f>
        <v>0</v>
      </c>
      <c r="F16" s="834" t="s">
        <v>220</v>
      </c>
      <c r="G16" s="728" t="str">
        <f>メイン!E21</f>
        <v>確定</v>
      </c>
      <c r="H16" s="695" t="s">
        <v>773</v>
      </c>
      <c r="I16" s="696"/>
      <c r="J16" s="731" t="str">
        <f>IF(メイン!C32=0,"",メイン!C32)</f>
        <v/>
      </c>
      <c r="K16" s="732"/>
      <c r="L16" s="1118"/>
      <c r="M16" s="1118"/>
      <c r="N16" s="1119"/>
      <c r="O16" s="1120"/>
      <c r="P16" s="59"/>
      <c r="R16" s="307" t="s">
        <v>121</v>
      </c>
      <c r="S16" s="755">
        <f>IF(AND($S$10&gt;=50,$S$12&gt;=3),1,IF(S13&lt;0.5,1,IF(S13&lt;1,2,IF(S13&lt;1.5,3,IF(S13&lt;3,4,4))))/5)</f>
        <v>0.8</v>
      </c>
      <c r="T16" s="308"/>
      <c r="U16" s="308"/>
      <c r="V16" s="308"/>
      <c r="W16" s="308"/>
      <c r="X16" s="308"/>
      <c r="AB16" s="308"/>
    </row>
    <row r="17" spans="1:28" ht="15.75" customHeight="1">
      <c r="A17" s="59"/>
      <c r="B17" s="692" t="s">
        <v>868</v>
      </c>
      <c r="C17" s="685"/>
      <c r="D17" s="699"/>
      <c r="E17" s="686">
        <f>メイン!C22</f>
        <v>0</v>
      </c>
      <c r="F17" s="681" t="s">
        <v>220</v>
      </c>
      <c r="G17" s="2870" t="str">
        <f>メイン!E22</f>
        <v>確定</v>
      </c>
      <c r="H17" s="700" t="s">
        <v>774</v>
      </c>
      <c r="I17" s="701"/>
      <c r="J17" s="835" t="str">
        <f>IF(メイン!C33=0,"",メイン!C33)</f>
        <v>平野公彦</v>
      </c>
      <c r="K17" s="733"/>
      <c r="L17" s="1121"/>
      <c r="M17" s="1118"/>
      <c r="N17" s="1122"/>
      <c r="O17" s="1123"/>
      <c r="P17" s="59"/>
      <c r="R17" s="307" t="s">
        <v>122</v>
      </c>
      <c r="S17" s="626">
        <f>1-S16</f>
        <v>0.19999999999999996</v>
      </c>
      <c r="T17" s="310"/>
      <c r="U17" s="310"/>
      <c r="V17" s="310"/>
      <c r="W17" s="310"/>
      <c r="X17" s="310"/>
      <c r="AB17" s="308"/>
    </row>
    <row r="18" spans="1:28" ht="13.8">
      <c r="A18" s="59"/>
      <c r="B18" s="692" t="s">
        <v>33</v>
      </c>
      <c r="C18" s="685"/>
      <c r="D18" s="740"/>
      <c r="E18" s="686">
        <f>メイン!C23</f>
        <v>120.8</v>
      </c>
      <c r="F18" s="681" t="s">
        <v>220</v>
      </c>
      <c r="G18" s="2871"/>
      <c r="H18" s="689" t="s">
        <v>431</v>
      </c>
      <c r="I18" s="684"/>
      <c r="J18" s="836" t="str">
        <f>IF(メイン!C34=0,"",メイン!C34)</f>
        <v/>
      </c>
      <c r="K18" s="734"/>
      <c r="L18" s="1121"/>
      <c r="M18" s="1118"/>
      <c r="N18" s="1122"/>
      <c r="O18" s="1123"/>
      <c r="P18" s="59"/>
      <c r="R18" s="310"/>
      <c r="S18" s="310"/>
      <c r="T18" s="310"/>
      <c r="U18" s="310"/>
      <c r="V18" s="310"/>
      <c r="W18" s="310"/>
      <c r="X18" s="310"/>
      <c r="AB18" s="308"/>
    </row>
    <row r="19" spans="1:28" ht="14.4" thickBot="1">
      <c r="A19" s="59"/>
      <c r="B19" s="2605" t="s">
        <v>302</v>
      </c>
      <c r="C19" s="702"/>
      <c r="D19" s="2826">
        <f>メイン!C24</f>
        <v>0</v>
      </c>
      <c r="E19" s="2827"/>
      <c r="F19" s="2828"/>
      <c r="G19" s="729" t="str">
        <f>メイン!E24</f>
        <v>仮</v>
      </c>
      <c r="H19" s="697" t="s">
        <v>471</v>
      </c>
      <c r="I19" s="698"/>
      <c r="J19" s="837" t="str">
        <f>IF(メイン!C35=0,"",メイン!C35)</f>
        <v/>
      </c>
      <c r="K19" s="735"/>
      <c r="L19" s="1124"/>
      <c r="M19" s="1125"/>
      <c r="N19" s="1126"/>
      <c r="O19" s="1127"/>
      <c r="P19" s="59"/>
      <c r="R19" s="310"/>
      <c r="S19" s="310"/>
      <c r="T19" s="310"/>
      <c r="U19" s="310"/>
      <c r="V19" s="310"/>
      <c r="W19" s="310"/>
      <c r="X19" s="310"/>
      <c r="AB19" s="308"/>
    </row>
    <row r="20" spans="1:28" ht="14.4" thickBot="1">
      <c r="A20" s="59"/>
      <c r="B20" s="2480"/>
      <c r="C20" s="2481"/>
      <c r="D20" s="2480"/>
      <c r="E20" s="703"/>
      <c r="F20" s="703"/>
      <c r="G20" s="703"/>
      <c r="H20" s="703"/>
      <c r="I20" s="704"/>
      <c r="J20" s="705"/>
      <c r="K20" s="706"/>
      <c r="L20" s="370"/>
      <c r="M20" s="370"/>
      <c r="N20" s="370"/>
      <c r="O20" s="370"/>
      <c r="P20" s="59"/>
      <c r="R20" s="310"/>
      <c r="S20" s="310"/>
      <c r="T20" s="310"/>
      <c r="U20" s="310"/>
      <c r="V20" s="310"/>
      <c r="W20" s="310"/>
      <c r="X20" s="310"/>
      <c r="AB20" s="308"/>
    </row>
    <row r="21" spans="1:28" ht="18.600000000000001" thickBot="1">
      <c r="A21" s="59"/>
      <c r="B21" s="339" t="s">
        <v>943</v>
      </c>
      <c r="C21" s="338"/>
      <c r="D21" s="338"/>
      <c r="E21" s="338"/>
      <c r="F21" s="338"/>
      <c r="G21" s="338"/>
      <c r="H21" s="747" t="s">
        <v>277</v>
      </c>
      <c r="I21" s="719"/>
      <c r="J21" s="720"/>
      <c r="K21" s="720"/>
      <c r="L21" s="708" t="s">
        <v>1631</v>
      </c>
      <c r="M21" s="338"/>
      <c r="N21" s="340"/>
      <c r="O21" s="1088"/>
      <c r="P21" s="59"/>
      <c r="R21" s="754" t="s">
        <v>124</v>
      </c>
      <c r="S21" s="308"/>
      <c r="T21" s="308"/>
      <c r="U21" s="308"/>
      <c r="AB21" s="308"/>
    </row>
    <row r="22" spans="1:28" ht="15" customHeight="1">
      <c r="A22" s="59"/>
      <c r="B22" s="622"/>
      <c r="C22" s="370"/>
      <c r="D22" s="370"/>
      <c r="E22" s="370"/>
      <c r="F22" s="370"/>
      <c r="G22" s="370"/>
      <c r="H22" s="1061"/>
      <c r="I22" s="1062"/>
      <c r="J22" s="370"/>
      <c r="K22" s="1063"/>
      <c r="L22" s="622"/>
      <c r="M22" s="289"/>
      <c r="N22" s="289"/>
      <c r="O22" s="373"/>
      <c r="P22" s="59"/>
      <c r="Q22" s="289"/>
      <c r="R22" s="307"/>
      <c r="S22" s="306" t="s">
        <v>415</v>
      </c>
      <c r="T22" s="306" t="s">
        <v>421</v>
      </c>
      <c r="U22" s="306" t="s">
        <v>422</v>
      </c>
      <c r="V22" s="308"/>
      <c r="W22" s="306" t="s">
        <v>414</v>
      </c>
      <c r="X22" s="306"/>
      <c r="Y22" s="308"/>
      <c r="Z22" s="306" t="s">
        <v>481</v>
      </c>
      <c r="AA22" s="306"/>
      <c r="AB22" s="308"/>
    </row>
    <row r="23" spans="1:28" ht="15" customHeight="1">
      <c r="A23" s="59"/>
      <c r="B23" s="372"/>
      <c r="C23" s="1378">
        <f>S13</f>
        <v>2.9</v>
      </c>
      <c r="D23" s="289"/>
      <c r="E23" s="289"/>
      <c r="F23" s="289"/>
      <c r="G23" s="289"/>
      <c r="H23" s="748"/>
      <c r="I23" s="389"/>
      <c r="J23" s="749"/>
      <c r="K23" s="750"/>
      <c r="L23" s="1064"/>
      <c r="M23" s="289"/>
      <c r="N23" s="289"/>
      <c r="O23" s="373"/>
      <c r="P23" s="59"/>
      <c r="Q23" s="289"/>
      <c r="R23" s="307" t="s">
        <v>356</v>
      </c>
      <c r="S23" s="309"/>
      <c r="T23" s="324">
        <f>S11</f>
        <v>27.378125000000008</v>
      </c>
      <c r="U23" s="309">
        <v>0</v>
      </c>
      <c r="V23" s="308"/>
      <c r="W23" s="309">
        <v>50</v>
      </c>
      <c r="X23" s="309">
        <v>50</v>
      </c>
      <c r="Y23" s="308"/>
      <c r="Z23" s="309">
        <v>0</v>
      </c>
      <c r="AA23" s="309">
        <v>100</v>
      </c>
      <c r="AB23" s="308"/>
    </row>
    <row r="24" spans="1:28" ht="15" customHeight="1">
      <c r="A24" s="59"/>
      <c r="B24" s="372"/>
      <c r="C24" s="289"/>
      <c r="D24" s="289"/>
      <c r="E24" s="289"/>
      <c r="F24" s="289"/>
      <c r="G24" s="289"/>
      <c r="H24" s="748"/>
      <c r="I24" s="289"/>
      <c r="J24" s="749"/>
      <c r="K24" s="750"/>
      <c r="L24" s="1064"/>
      <c r="M24" s="289"/>
      <c r="N24" s="289"/>
      <c r="O24" s="373"/>
      <c r="P24" s="59"/>
      <c r="Q24" s="289"/>
      <c r="R24" s="307" t="s">
        <v>359</v>
      </c>
      <c r="S24" s="309"/>
      <c r="T24" s="324">
        <f>S10</f>
        <v>80.243749999999991</v>
      </c>
      <c r="U24" s="309">
        <v>0</v>
      </c>
      <c r="V24" s="308"/>
      <c r="W24" s="309">
        <v>0</v>
      </c>
      <c r="X24" s="309">
        <v>100</v>
      </c>
      <c r="Y24" s="308"/>
      <c r="Z24" s="309">
        <v>50</v>
      </c>
      <c r="AA24" s="309">
        <v>50</v>
      </c>
      <c r="AB24" s="308"/>
    </row>
    <row r="25" spans="1:28" ht="15" customHeight="1">
      <c r="A25" s="59"/>
      <c r="B25" s="744"/>
      <c r="C25" s="745"/>
      <c r="D25" s="745"/>
      <c r="E25" s="745"/>
      <c r="F25" s="745"/>
      <c r="G25" s="746"/>
      <c r="H25" s="1065"/>
      <c r="I25" s="1066"/>
      <c r="J25" s="1067"/>
      <c r="K25" s="1068"/>
      <c r="L25" s="372"/>
      <c r="M25" s="289"/>
      <c r="O25" s="373"/>
      <c r="P25" s="59"/>
      <c r="Q25" s="289"/>
      <c r="R25" s="309">
        <v>0</v>
      </c>
      <c r="S25" s="306">
        <f>T23</f>
        <v>27.378125000000008</v>
      </c>
      <c r="T25" s="628">
        <f>T23</f>
        <v>27.378125000000008</v>
      </c>
      <c r="U25" s="306">
        <v>0.1</v>
      </c>
      <c r="V25" s="308"/>
      <c r="W25" s="308"/>
      <c r="X25" s="308"/>
      <c r="Y25" s="308"/>
      <c r="Z25" s="308"/>
      <c r="AA25" s="308"/>
      <c r="AB25" s="308"/>
    </row>
    <row r="26" spans="1:28" ht="15" customHeight="1">
      <c r="A26" s="59"/>
      <c r="B26" s="372"/>
      <c r="C26" s="289"/>
      <c r="D26" s="289"/>
      <c r="E26" s="289"/>
      <c r="F26" s="289"/>
      <c r="G26" s="289"/>
      <c r="H26" s="1110" t="str">
        <f>U36</f>
        <v>戸建標準計算</v>
      </c>
      <c r="I26" s="289"/>
      <c r="J26" s="749"/>
      <c r="K26" s="749"/>
      <c r="L26" s="1603"/>
      <c r="M26" s="1604"/>
      <c r="N26" s="1604"/>
      <c r="O26" s="1605"/>
      <c r="P26" s="59"/>
      <c r="Q26" s="289"/>
      <c r="R26" s="309">
        <v>0</v>
      </c>
      <c r="S26" s="306">
        <v>0</v>
      </c>
      <c r="T26" s="306">
        <f>T24</f>
        <v>80.243749999999991</v>
      </c>
      <c r="U26" s="629">
        <f>T24</f>
        <v>80.243749999999991</v>
      </c>
      <c r="V26" s="308"/>
      <c r="W26" s="308"/>
      <c r="X26" s="308"/>
      <c r="Y26" s="308"/>
      <c r="Z26" s="308"/>
      <c r="AA26" s="308"/>
      <c r="AB26" s="308"/>
    </row>
    <row r="27" spans="1:28" ht="15" customHeight="1">
      <c r="A27" s="59"/>
      <c r="B27" s="372"/>
      <c r="C27" s="289"/>
      <c r="D27" s="289"/>
      <c r="E27" s="289"/>
      <c r="F27" s="289"/>
      <c r="G27" s="289"/>
      <c r="H27" s="748"/>
      <c r="I27" s="289"/>
      <c r="J27" s="749"/>
      <c r="K27" s="750"/>
      <c r="L27" s="1069"/>
      <c r="M27" s="1070"/>
      <c r="N27" s="597"/>
      <c r="O27" s="1071"/>
      <c r="P27" s="59"/>
      <c r="Q27" s="289"/>
      <c r="R27" s="742"/>
      <c r="S27" s="351"/>
      <c r="T27" s="351"/>
      <c r="U27" s="743"/>
      <c r="V27" s="308"/>
      <c r="W27" s="308"/>
      <c r="X27" s="308"/>
      <c r="Y27" s="308"/>
      <c r="Z27" s="308"/>
      <c r="AA27" s="308"/>
      <c r="AB27" s="308"/>
    </row>
    <row r="28" spans="1:28" ht="15" customHeight="1">
      <c r="A28" s="59"/>
      <c r="B28" s="372"/>
      <c r="C28" s="289"/>
      <c r="D28" s="289"/>
      <c r="E28" s="289"/>
      <c r="F28" s="289"/>
      <c r="G28" s="289"/>
      <c r="H28" s="748"/>
      <c r="I28" s="289"/>
      <c r="J28" s="749"/>
      <c r="K28" s="750"/>
      <c r="L28" s="1069"/>
      <c r="M28" s="1070"/>
      <c r="N28" s="597"/>
      <c r="O28" s="1071"/>
      <c r="P28" s="59"/>
      <c r="Q28" s="289"/>
      <c r="R28" s="630" t="s">
        <v>355</v>
      </c>
      <c r="S28" s="306" t="s">
        <v>747</v>
      </c>
      <c r="T28" s="631">
        <v>0</v>
      </c>
      <c r="U28" s="631">
        <f>100/6</f>
        <v>16.666666666666668</v>
      </c>
      <c r="V28" s="632">
        <f>U28*2</f>
        <v>33.333333333333336</v>
      </c>
      <c r="W28" s="631">
        <f>U28*3</f>
        <v>50</v>
      </c>
      <c r="X28" s="631">
        <f>U28*4</f>
        <v>66.666666666666671</v>
      </c>
      <c r="Y28" s="631">
        <f>U28*5</f>
        <v>83.333333333333343</v>
      </c>
      <c r="Z28" s="631">
        <v>100</v>
      </c>
      <c r="AA28" s="308"/>
      <c r="AB28" s="308"/>
    </row>
    <row r="29" spans="1:28" ht="15" customHeight="1">
      <c r="A29" s="59"/>
      <c r="B29" s="372"/>
      <c r="C29" s="289"/>
      <c r="D29" s="289"/>
      <c r="E29" s="289"/>
      <c r="F29" s="289"/>
      <c r="G29" s="289"/>
      <c r="H29" s="748"/>
      <c r="I29" s="289"/>
      <c r="J29" s="749"/>
      <c r="K29" s="750"/>
      <c r="L29" s="1069"/>
      <c r="M29" s="1070"/>
      <c r="N29" s="597"/>
      <c r="O29" s="1071"/>
      <c r="P29" s="59"/>
      <c r="Q29" s="289"/>
      <c r="R29" s="630"/>
      <c r="S29" s="306" t="s">
        <v>748</v>
      </c>
      <c r="T29" s="631">
        <v>100</v>
      </c>
      <c r="U29" s="631">
        <v>100</v>
      </c>
      <c r="V29" s="631">
        <v>100</v>
      </c>
      <c r="W29" s="631">
        <v>100</v>
      </c>
      <c r="X29" s="631">
        <v>100</v>
      </c>
      <c r="Y29" s="631">
        <v>100</v>
      </c>
      <c r="Z29" s="631">
        <v>100</v>
      </c>
      <c r="AA29" s="308"/>
      <c r="AB29" s="308"/>
    </row>
    <row r="30" spans="1:28" ht="15" customHeight="1">
      <c r="A30" s="59"/>
      <c r="B30" s="372"/>
      <c r="C30" s="289"/>
      <c r="D30" s="289"/>
      <c r="E30" s="289"/>
      <c r="F30" s="289"/>
      <c r="G30" s="289"/>
      <c r="H30" s="748"/>
      <c r="I30" s="289"/>
      <c r="J30" s="749"/>
      <c r="K30" s="750"/>
      <c r="L30" s="1069"/>
      <c r="M30" s="1070"/>
      <c r="N30" s="597"/>
      <c r="O30" s="1071"/>
      <c r="P30" s="59"/>
      <c r="Q30" s="289"/>
      <c r="R30" s="630">
        <v>3</v>
      </c>
      <c r="S30" s="306" t="s">
        <v>749</v>
      </c>
      <c r="T30" s="631">
        <v>50</v>
      </c>
      <c r="U30" s="631">
        <f t="shared" ref="U30:X33" si="0">U$28*$R30</f>
        <v>50</v>
      </c>
      <c r="V30" s="631">
        <f t="shared" si="0"/>
        <v>100</v>
      </c>
      <c r="W30" s="631">
        <v>100</v>
      </c>
      <c r="X30" s="631">
        <v>100</v>
      </c>
      <c r="Y30" s="631">
        <v>100</v>
      </c>
      <c r="Z30" s="631">
        <v>100</v>
      </c>
      <c r="AA30" s="308"/>
      <c r="AB30" s="308"/>
    </row>
    <row r="31" spans="1:28" ht="15" customHeight="1">
      <c r="A31" s="59"/>
      <c r="B31" s="372"/>
      <c r="C31" s="289"/>
      <c r="D31" s="289"/>
      <c r="E31" s="289"/>
      <c r="F31" s="289"/>
      <c r="G31" s="289"/>
      <c r="H31" s="748"/>
      <c r="I31" s="289"/>
      <c r="J31" s="749"/>
      <c r="K31" s="750"/>
      <c r="L31" s="1069"/>
      <c r="M31" s="1070"/>
      <c r="N31" s="597"/>
      <c r="O31" s="1071"/>
      <c r="P31" s="59"/>
      <c r="Q31" s="289"/>
      <c r="R31" s="630">
        <v>1.5</v>
      </c>
      <c r="S31" s="306" t="s">
        <v>750</v>
      </c>
      <c r="T31" s="631">
        <v>0</v>
      </c>
      <c r="U31" s="631">
        <f t="shared" si="0"/>
        <v>25</v>
      </c>
      <c r="V31" s="631">
        <f t="shared" si="0"/>
        <v>50</v>
      </c>
      <c r="W31" s="631">
        <f t="shared" si="0"/>
        <v>75</v>
      </c>
      <c r="X31" s="631">
        <f t="shared" si="0"/>
        <v>100</v>
      </c>
      <c r="Y31" s="631">
        <v>100</v>
      </c>
      <c r="Z31" s="631">
        <v>100</v>
      </c>
      <c r="AA31" s="308"/>
      <c r="AB31" s="308"/>
    </row>
    <row r="32" spans="1:28" ht="15" customHeight="1">
      <c r="A32" s="59"/>
      <c r="B32" s="372"/>
      <c r="C32" s="289"/>
      <c r="D32" s="289"/>
      <c r="E32" s="289"/>
      <c r="F32" s="289"/>
      <c r="G32" s="289"/>
      <c r="H32" s="2848"/>
      <c r="I32" s="289"/>
      <c r="J32" s="749"/>
      <c r="K32" s="750"/>
      <c r="L32" s="1069"/>
      <c r="M32" s="1070"/>
      <c r="N32" s="597"/>
      <c r="O32" s="1071"/>
      <c r="P32" s="59"/>
      <c r="Q32" s="289"/>
      <c r="R32" s="630">
        <v>1</v>
      </c>
      <c r="S32" s="306" t="s">
        <v>751</v>
      </c>
      <c r="T32" s="631">
        <v>0</v>
      </c>
      <c r="U32" s="631">
        <f t="shared" si="0"/>
        <v>16.666666666666668</v>
      </c>
      <c r="V32" s="631">
        <f t="shared" si="0"/>
        <v>33.333333333333336</v>
      </c>
      <c r="W32" s="631">
        <f t="shared" si="0"/>
        <v>50</v>
      </c>
      <c r="X32" s="631">
        <f t="shared" si="0"/>
        <v>66.666666666666671</v>
      </c>
      <c r="Y32" s="631">
        <f>Y$28*$R32</f>
        <v>83.333333333333343</v>
      </c>
      <c r="Z32" s="631">
        <f>Z$28*$R32</f>
        <v>100</v>
      </c>
      <c r="AA32" s="308"/>
      <c r="AB32" s="308"/>
    </row>
    <row r="33" spans="1:45" ht="15" customHeight="1">
      <c r="A33" s="59"/>
      <c r="B33" s="372"/>
      <c r="C33" s="289"/>
      <c r="D33" s="289"/>
      <c r="E33" s="289"/>
      <c r="F33" s="289"/>
      <c r="G33" s="289"/>
      <c r="H33" s="2848"/>
      <c r="I33" s="389"/>
      <c r="J33" s="749"/>
      <c r="K33" s="750"/>
      <c r="L33" s="1069"/>
      <c r="M33" s="289"/>
      <c r="N33" s="289"/>
      <c r="O33" s="373"/>
      <c r="P33" s="59"/>
      <c r="Q33" s="289"/>
      <c r="R33" s="630">
        <v>0.5</v>
      </c>
      <c r="S33" s="306" t="s">
        <v>752</v>
      </c>
      <c r="T33" s="631">
        <v>0</v>
      </c>
      <c r="U33" s="631">
        <f t="shared" si="0"/>
        <v>8.3333333333333339</v>
      </c>
      <c r="V33" s="631">
        <f t="shared" si="0"/>
        <v>16.666666666666668</v>
      </c>
      <c r="W33" s="631">
        <f t="shared" si="0"/>
        <v>25</v>
      </c>
      <c r="X33" s="631">
        <f t="shared" si="0"/>
        <v>33.333333333333336</v>
      </c>
      <c r="Y33" s="631">
        <f>Y$28*$R33</f>
        <v>41.666666666666671</v>
      </c>
      <c r="Z33" s="631">
        <f>Z$28*$R33</f>
        <v>50</v>
      </c>
      <c r="AA33" s="308"/>
      <c r="AB33" s="308"/>
    </row>
    <row r="34" spans="1:45" ht="15" customHeight="1">
      <c r="A34" s="59"/>
      <c r="B34" s="372"/>
      <c r="C34" s="289"/>
      <c r="D34" s="289"/>
      <c r="E34" s="289"/>
      <c r="F34" s="289"/>
      <c r="G34" s="289"/>
      <c r="H34" s="1076"/>
      <c r="I34" s="1077"/>
      <c r="J34" s="1077"/>
      <c r="K34" s="1078"/>
      <c r="L34" s="1069"/>
      <c r="M34" s="289"/>
      <c r="N34" s="1079"/>
      <c r="O34" s="373"/>
      <c r="P34" s="59"/>
      <c r="Q34" s="289"/>
      <c r="S34" s="289"/>
      <c r="AA34" s="308"/>
      <c r="AB34" s="308"/>
    </row>
    <row r="35" spans="1:45" ht="15" customHeight="1">
      <c r="A35" s="59"/>
      <c r="B35" s="372"/>
      <c r="C35" s="289"/>
      <c r="D35" s="289"/>
      <c r="E35" s="289"/>
      <c r="F35" s="289"/>
      <c r="G35" s="289"/>
      <c r="H35" s="2820" t="str">
        <f>IF(U36=W36,X36,X37)</f>
        <v>このグラフは、LR3中の「地球温暖化への配慮」の内容を、一般的な住宅（参照値）と比べたライフサイクルCO2 排出量の目安で示したものです</v>
      </c>
      <c r="I35" s="2821"/>
      <c r="J35" s="2821"/>
      <c r="K35" s="2822"/>
      <c r="L35" s="1069"/>
      <c r="M35" s="289"/>
      <c r="N35" s="1080"/>
      <c r="O35" s="373"/>
      <c r="P35" s="59"/>
      <c r="Q35" s="289"/>
      <c r="S35" s="289"/>
      <c r="AA35" s="308"/>
      <c r="AB35" s="308"/>
    </row>
    <row r="36" spans="1:45" ht="26.4">
      <c r="A36" s="59"/>
      <c r="B36" s="372"/>
      <c r="C36" s="677"/>
      <c r="D36" s="289"/>
      <c r="E36" s="289"/>
      <c r="F36" s="289"/>
      <c r="G36" s="289"/>
      <c r="H36" s="2820"/>
      <c r="I36" s="2821"/>
      <c r="J36" s="2821"/>
      <c r="K36" s="2822"/>
      <c r="L36" s="372"/>
      <c r="M36" s="1081"/>
      <c r="N36" s="289"/>
      <c r="O36" s="373"/>
      <c r="P36" s="59"/>
      <c r="Q36" s="289"/>
      <c r="R36" s="307" t="s">
        <v>395</v>
      </c>
      <c r="S36" s="1086">
        <f>IF(T36&lt;=0,1,IF(T36&lt;=0.5,0.8,IF(T36&lt;=0.75,0.6,IF(T36&lt;=1,0.4,0.2))))</f>
        <v>0.6</v>
      </c>
      <c r="T36" s="1087">
        <f>IF(U36=W36,AB42,AB43)</f>
        <v>0.74</v>
      </c>
      <c r="U36" s="907" t="str">
        <f>メイン!C36</f>
        <v>戸建標準計算</v>
      </c>
      <c r="V36" s="1093" t="s">
        <v>840</v>
      </c>
      <c r="W36" s="825" t="str">
        <f>メイン!H36</f>
        <v>戸建標準計算</v>
      </c>
      <c r="X36" s="825" t="s">
        <v>295</v>
      </c>
      <c r="Y36" s="1087"/>
      <c r="Z36" s="1087"/>
      <c r="AA36" s="308"/>
      <c r="AB36" s="308"/>
    </row>
    <row r="37" spans="1:45" ht="14.4" thickBot="1">
      <c r="A37" s="59"/>
      <c r="B37" s="375"/>
      <c r="C37" s="371"/>
      <c r="D37" s="371"/>
      <c r="E37" s="371"/>
      <c r="F37" s="371"/>
      <c r="G37" s="371"/>
      <c r="H37" s="2823"/>
      <c r="I37" s="2824"/>
      <c r="J37" s="2824"/>
      <c r="K37" s="2825"/>
      <c r="L37" s="1637"/>
      <c r="M37" s="1082"/>
      <c r="N37" s="371"/>
      <c r="O37" s="1083"/>
      <c r="P37" s="59"/>
      <c r="Q37" s="289"/>
      <c r="R37" s="307" t="s">
        <v>122</v>
      </c>
      <c r="S37" s="626">
        <f>1-S36</f>
        <v>0.4</v>
      </c>
      <c r="T37" s="1087"/>
      <c r="U37" s="907" t="s">
        <v>1905</v>
      </c>
      <c r="V37" s="1094" t="str">
        <f>IF(U36=W37,V36,"")</f>
        <v/>
      </c>
      <c r="W37" s="825" t="str">
        <f>メイン!H37</f>
        <v>戸建独自計算</v>
      </c>
      <c r="X37" s="825" t="s">
        <v>574</v>
      </c>
      <c r="Y37" s="1087"/>
      <c r="Z37" s="1087"/>
      <c r="AA37" s="308"/>
      <c r="AB37" s="308"/>
    </row>
    <row r="38" spans="1:45" ht="19.5" customHeight="1" thickBot="1">
      <c r="A38" s="59"/>
      <c r="B38" s="341" t="s">
        <v>184</v>
      </c>
      <c r="C38" s="342"/>
      <c r="D38" s="343"/>
      <c r="E38" s="342"/>
      <c r="F38" s="342"/>
      <c r="G38" s="342"/>
      <c r="H38" s="344"/>
      <c r="I38" s="345"/>
      <c r="J38" s="342"/>
      <c r="K38" s="342"/>
      <c r="L38" s="342"/>
      <c r="M38" s="346"/>
      <c r="N38" s="346"/>
      <c r="O38" s="347"/>
      <c r="P38" s="59"/>
      <c r="S38" s="289"/>
      <c r="AA38" s="308"/>
      <c r="AB38" s="308"/>
    </row>
    <row r="39" spans="1:45" ht="18" customHeight="1">
      <c r="A39" s="59"/>
      <c r="B39" s="607" t="s">
        <v>205</v>
      </c>
      <c r="C39" s="604"/>
      <c r="D39" s="604"/>
      <c r="E39" s="605"/>
      <c r="F39" s="604"/>
      <c r="G39" s="604"/>
      <c r="H39" s="604"/>
      <c r="I39" s="604"/>
      <c r="J39" s="604"/>
      <c r="K39" s="604"/>
      <c r="L39" s="606"/>
      <c r="M39" s="55" t="s">
        <v>203</v>
      </c>
      <c r="N39" s="348">
        <f>スコア!Q8</f>
        <v>4.2</v>
      </c>
      <c r="O39" s="296"/>
      <c r="P39" s="59"/>
      <c r="R39" s="752" t="s">
        <v>129</v>
      </c>
      <c r="S39" s="753" t="s">
        <v>130</v>
      </c>
      <c r="T39" s="753" t="s">
        <v>298</v>
      </c>
      <c r="U39" s="753" t="s">
        <v>131</v>
      </c>
      <c r="V39" s="753" t="s">
        <v>393</v>
      </c>
      <c r="W39" s="753" t="s">
        <v>394</v>
      </c>
      <c r="X39" s="753" t="s">
        <v>319</v>
      </c>
      <c r="Y39" s="1089" t="s">
        <v>320</v>
      </c>
      <c r="Z39" s="1089" t="s">
        <v>321</v>
      </c>
      <c r="AA39" s="1089" t="s">
        <v>322</v>
      </c>
      <c r="AB39" s="753" t="s">
        <v>128</v>
      </c>
      <c r="AC39" s="374" t="s">
        <v>127</v>
      </c>
      <c r="AF39" s="374" t="s">
        <v>416</v>
      </c>
      <c r="AG39" s="307" t="s">
        <v>417</v>
      </c>
      <c r="AH39" s="307" t="s">
        <v>418</v>
      </c>
      <c r="AI39" s="374" t="s">
        <v>419</v>
      </c>
      <c r="AL39" s="1636" t="s">
        <v>1620</v>
      </c>
      <c r="AM39" s="1636" t="str">
        <f>建築環境SDGs!F4</f>
        <v>実施しない</v>
      </c>
    </row>
    <row r="40" spans="1:45" ht="13.8">
      <c r="A40" s="59"/>
      <c r="B40" s="376"/>
      <c r="C40" s="57" t="s">
        <v>207</v>
      </c>
      <c r="D40" s="58"/>
      <c r="E40" s="58"/>
      <c r="F40" s="58"/>
      <c r="G40" s="58"/>
      <c r="H40" s="58" t="s">
        <v>208</v>
      </c>
      <c r="I40" s="59"/>
      <c r="J40" s="59"/>
      <c r="K40" s="59"/>
      <c r="L40" s="60" t="s">
        <v>209</v>
      </c>
      <c r="M40" s="59"/>
      <c r="N40" s="59"/>
      <c r="O40" s="61"/>
      <c r="P40" s="59"/>
      <c r="R40" s="374" t="s">
        <v>126</v>
      </c>
      <c r="S40" s="1084">
        <f>IF($U$36=$W$36,CO2計算!P89,CO2独自計算!$E6)</f>
        <v>9.52</v>
      </c>
      <c r="T40" s="1084">
        <f>IF($U$36=$W$36,CO2計算!P90,CO2独自計算!$E8)</f>
        <v>2.83</v>
      </c>
      <c r="U40" s="1084">
        <f>IF($U$36=$W$36,CO2計算!P91,CO2独自計算!$E10)</f>
        <v>38.802961218453483</v>
      </c>
      <c r="V40" s="757"/>
      <c r="W40" s="757"/>
      <c r="X40" s="374"/>
      <c r="Y40" s="1090"/>
      <c r="Z40" s="1090"/>
      <c r="AA40" s="1090"/>
      <c r="AB40" s="1417" t="str">
        <f>IF(S40=0,"","100%")</f>
        <v>100%</v>
      </c>
      <c r="AC40" s="374">
        <f>IF(COUNTIF(S40:W40,AD41)&gt;0,AD41,SUM(S40:W40))</f>
        <v>51.152961218453484</v>
      </c>
      <c r="AF40" s="374">
        <v>0</v>
      </c>
      <c r="AG40" s="307">
        <v>0</v>
      </c>
      <c r="AH40" s="307">
        <f>MAX(AC40:AC43)</f>
        <v>51.152961218453484</v>
      </c>
      <c r="AI40" s="374">
        <v>0</v>
      </c>
      <c r="AL40" s="1606"/>
      <c r="AM40" s="1607" t="s">
        <v>1165</v>
      </c>
    </row>
    <row r="41" spans="1:45" ht="14.4">
      <c r="A41" s="59"/>
      <c r="B41" s="372"/>
      <c r="C41" s="62"/>
      <c r="D41" s="63"/>
      <c r="E41" s="64"/>
      <c r="F41" s="289"/>
      <c r="G41" s="58">
        <f>S46</f>
        <v>4.5999999999999996</v>
      </c>
      <c r="H41" s="289"/>
      <c r="I41" s="65"/>
      <c r="J41" s="289"/>
      <c r="K41" s="763">
        <f>V46</f>
        <v>3.9</v>
      </c>
      <c r="L41" s="289"/>
      <c r="M41" s="66"/>
      <c r="N41" s="289"/>
      <c r="O41" s="765">
        <f>Y46</f>
        <v>3.8</v>
      </c>
      <c r="P41" s="59"/>
      <c r="Q41" s="289"/>
      <c r="R41" s="374" t="s">
        <v>389</v>
      </c>
      <c r="S41" s="1084">
        <f>IF($U$36=$W$36,CO2計算!M89,CO2独自計算!$G6)</f>
        <v>2.7896000000000001</v>
      </c>
      <c r="T41" s="1084">
        <f>IF($U$36=$W$36,CO2計算!M90,CO2独自計算!$G8)</f>
        <v>4.75</v>
      </c>
      <c r="U41" s="1084">
        <f>IF($U$36=$W$36,CO2計算!M55,CO2独自計算!$G10)</f>
        <v>29.86964678777413</v>
      </c>
      <c r="V41" s="757"/>
      <c r="W41" s="757"/>
      <c r="X41" s="1103">
        <f>IF(AC40&lt;AC41,0,IF(AF41&lt;0,0,AC40-AC41))</f>
        <v>13.743714430679354</v>
      </c>
      <c r="Y41" s="1090"/>
      <c r="Z41" s="1090"/>
      <c r="AA41" s="1090"/>
      <c r="AB41" s="1417">
        <f>IF(AC40=AD41,AD41,IFERROR(ROUNDUP((AC41/AC40),2),""))</f>
        <v>0.74</v>
      </c>
      <c r="AC41" s="374">
        <f>IF(COUNTIF(S41:W41,AD41)&gt;0,AD41,SUM(S41:W41))</f>
        <v>37.40924678777413</v>
      </c>
      <c r="AD41" s="289" t="s">
        <v>531</v>
      </c>
      <c r="AF41" s="374">
        <f>IF(AC40&lt;AC41,0,IF(AC41&gt;0,0,IF(AC40&gt;0,AC41,AC41-AC40)))</f>
        <v>0</v>
      </c>
      <c r="AG41" s="307">
        <f>IF(AC40&gt;0,0,AC40)</f>
        <v>0</v>
      </c>
      <c r="AH41" s="307">
        <v>0</v>
      </c>
      <c r="AI41" s="374">
        <f>IF(AC40&lt;AC41,0,IF(AC40&lt;0,0,IF(AC41&lt;0,AC40,0)))</f>
        <v>0</v>
      </c>
      <c r="AL41" s="1607" t="s">
        <v>1166</v>
      </c>
      <c r="AM41" s="1608">
        <f>IF(AM39="実施する",建築環境SDGs!Z121,0)</f>
        <v>0</v>
      </c>
    </row>
    <row r="42" spans="1:45" ht="15" customHeight="1">
      <c r="A42" s="59"/>
      <c r="B42" s="372"/>
      <c r="C42" s="289"/>
      <c r="D42" s="289"/>
      <c r="E42" s="289"/>
      <c r="F42" s="289"/>
      <c r="G42" s="50"/>
      <c r="H42" s="50"/>
      <c r="I42" s="51"/>
      <c r="J42" s="51"/>
      <c r="K42" s="50"/>
      <c r="L42" s="59"/>
      <c r="M42" s="59"/>
      <c r="N42" s="59"/>
      <c r="O42" s="61"/>
      <c r="P42" s="59"/>
      <c r="R42" s="374" t="s">
        <v>390</v>
      </c>
      <c r="S42" s="1084"/>
      <c r="T42" s="1084"/>
      <c r="U42" s="1084"/>
      <c r="V42" s="1085">
        <f>IF($U$36=$W$36,CO2計算!M78,CO2独自計算!$G11)+S41+T41</f>
        <v>37.40924678777413</v>
      </c>
      <c r="W42" s="757"/>
      <c r="X42" s="1103">
        <f>IF(AC41&lt;AC42,0,IF(AF42&lt;0,0,AC41-AC42))</f>
        <v>0</v>
      </c>
      <c r="Y42" s="1090"/>
      <c r="Z42" s="1090"/>
      <c r="AA42" s="1090"/>
      <c r="AB42" s="1417">
        <f>IFERROR(IF(OR(AC40=AD42,AC42=AD42),AD42,ROUNDUP(AC42/AC40,2)),"")</f>
        <v>0.74</v>
      </c>
      <c r="AC42" s="374">
        <f>IF(COUNTIF(S42:W42,AD42)&gt;0,AD42,SUM(S42:W42))</f>
        <v>37.40924678777413</v>
      </c>
      <c r="AD42" s="289" t="s">
        <v>531</v>
      </c>
      <c r="AF42" s="374">
        <f>IF(AC41&lt;AC42,0,IF(AC42&gt;0,0,IF(AC41&gt;0,AC42,AC42-AC41)))</f>
        <v>0</v>
      </c>
      <c r="AG42" s="307">
        <f>IF(AC41&gt;0,0,AC41)</f>
        <v>0</v>
      </c>
      <c r="AH42" s="307">
        <v>0</v>
      </c>
      <c r="AI42" s="374">
        <f>IF(AC41&lt;AC42,0,IF(AC41&lt;0,0,IF(AC42&lt;0,AC41,0)))</f>
        <v>0</v>
      </c>
      <c r="AL42" s="1607" t="s">
        <v>1167</v>
      </c>
      <c r="AM42" s="1608">
        <f>IF(AM39="実施する",建築環境SDGs!Z122,0)</f>
        <v>0</v>
      </c>
    </row>
    <row r="43" spans="1:45" ht="15" customHeight="1">
      <c r="A43" s="59"/>
      <c r="B43" s="372"/>
      <c r="C43" s="289"/>
      <c r="D43" s="289"/>
      <c r="E43" s="289"/>
      <c r="F43" s="289"/>
      <c r="G43" s="50"/>
      <c r="H43" s="50"/>
      <c r="I43" s="51"/>
      <c r="J43" s="51"/>
      <c r="K43" s="50"/>
      <c r="L43" s="59"/>
      <c r="M43" s="59"/>
      <c r="N43" s="59"/>
      <c r="O43" s="61"/>
      <c r="P43" s="59"/>
      <c r="R43" s="374" t="s">
        <v>391</v>
      </c>
      <c r="S43" s="1084"/>
      <c r="T43" s="1084"/>
      <c r="U43" s="1084"/>
      <c r="V43" s="1085"/>
      <c r="W43" s="1095">
        <f>IF($U$36=$W$36,CO2計算!M78,CO2独自計算!$G15)+S41+T41</f>
        <v>37.40924678777413</v>
      </c>
      <c r="X43" s="1103">
        <f>IF(AC42&lt;AC43,0,IF(AF43&lt;0,0,AC42-AC43))</f>
        <v>0</v>
      </c>
      <c r="Y43" s="1090"/>
      <c r="Z43" s="1090"/>
      <c r="AA43" s="1090"/>
      <c r="AB43" s="1417">
        <f>IFERROR(IF(OR(AC40=AD43,AC43=AD43),AD43,ROUNDUP(AC43/AC40,2)),"")</f>
        <v>0.74</v>
      </c>
      <c r="AC43" s="374">
        <f>IF(COUNTIF(S43:W43,AD43)&gt;0,AD43,SUM(S43:W43))</f>
        <v>37.40924678777413</v>
      </c>
      <c r="AD43" s="289" t="s">
        <v>531</v>
      </c>
      <c r="AF43" s="374">
        <f>IF(AC42&lt;AC43,0,IF(AC43&gt;0,0,IF(AC42&gt;0,AC43,AC43-AC42)))</f>
        <v>0</v>
      </c>
      <c r="AG43" s="307">
        <f>IF(AC42&gt;0,0,AC42)</f>
        <v>0</v>
      </c>
      <c r="AH43" s="307">
        <v>0</v>
      </c>
      <c r="AI43" s="374">
        <f>IF(AC42&lt;AC43,0,IF(AC42&lt;0,0,IF(AC43&lt;0,AC42,0)))</f>
        <v>0</v>
      </c>
      <c r="AL43" s="1607" t="s">
        <v>1168</v>
      </c>
      <c r="AM43" s="1608">
        <f>IF(AM39="実施する",建築環境SDGs!Z123,0)</f>
        <v>0</v>
      </c>
    </row>
    <row r="44" spans="1:45" ht="15" customHeight="1">
      <c r="A44" s="59"/>
      <c r="B44" s="372"/>
      <c r="C44" s="289"/>
      <c r="D44" s="289"/>
      <c r="E44" s="289"/>
      <c r="F44" s="289"/>
      <c r="G44" s="50"/>
      <c r="H44" s="50"/>
      <c r="I44" s="51"/>
      <c r="J44" s="51"/>
      <c r="K44" s="50"/>
      <c r="L44" s="59"/>
      <c r="M44" s="59"/>
      <c r="N44" s="59"/>
      <c r="O44" s="61"/>
      <c r="P44" s="59"/>
      <c r="S44" s="289"/>
      <c r="W44" s="1104"/>
      <c r="X44" s="1104"/>
      <c r="AA44" s="308"/>
      <c r="AB44" s="308"/>
      <c r="AC44" s="1104"/>
      <c r="AL44" s="1607" t="s">
        <v>1169</v>
      </c>
      <c r="AM44" s="1608">
        <f>IF(AM39="実施する",建築環境SDGs!Z124,0)</f>
        <v>0</v>
      </c>
      <c r="AO44" s="2876" t="s">
        <v>1170</v>
      </c>
      <c r="AP44" s="2876"/>
      <c r="AQ44" s="2876"/>
      <c r="AR44" s="1609">
        <f>IF(AM39="実施する",建築環境SDGs!AA119,0)</f>
        <v>0</v>
      </c>
    </row>
    <row r="45" spans="1:45" ht="15" customHeight="1">
      <c r="A45" s="59"/>
      <c r="B45" s="372"/>
      <c r="C45" s="289"/>
      <c r="D45" s="289"/>
      <c r="E45" s="289"/>
      <c r="F45" s="289"/>
      <c r="G45" s="50"/>
      <c r="H45" s="50"/>
      <c r="I45" s="51"/>
      <c r="J45" s="51"/>
      <c r="K45" s="50"/>
      <c r="L45" s="59"/>
      <c r="M45" s="59"/>
      <c r="N45" s="59"/>
      <c r="O45" s="61"/>
      <c r="P45" s="59"/>
      <c r="R45" s="307"/>
      <c r="S45" s="307" t="s">
        <v>742</v>
      </c>
      <c r="T45" s="307" t="s">
        <v>754</v>
      </c>
      <c r="U45" s="307"/>
      <c r="V45" s="307" t="s">
        <v>742</v>
      </c>
      <c r="W45" s="307" t="s">
        <v>754</v>
      </c>
      <c r="X45" s="307"/>
      <c r="Y45" s="307" t="s">
        <v>742</v>
      </c>
      <c r="Z45" s="307" t="s">
        <v>754</v>
      </c>
      <c r="AA45" s="308"/>
      <c r="AB45" s="308"/>
      <c r="AL45" s="1607" t="s">
        <v>1171</v>
      </c>
      <c r="AM45" s="1608">
        <f>IF(AM39="実施する",建築環境SDGs!Z125,0)</f>
        <v>0</v>
      </c>
      <c r="AO45" s="2876" t="s">
        <v>1172</v>
      </c>
      <c r="AP45" s="2876"/>
      <c r="AQ45" s="2876"/>
      <c r="AR45" s="1610">
        <f>IF(AM39="実施する",IF(AR44=1,1,IF(AR44&lt;AR48,1,IF(AR44&lt;AR49,2,IF(AR44&lt;AR50,3,IF(AR44&lt;AR51,4,5)))))/5,0)</f>
        <v>0</v>
      </c>
    </row>
    <row r="46" spans="1:45" ht="15" customHeight="1">
      <c r="A46" s="59"/>
      <c r="B46" s="372"/>
      <c r="C46" s="289"/>
      <c r="D46" s="289"/>
      <c r="E46" s="289"/>
      <c r="F46" s="289"/>
      <c r="G46" s="50"/>
      <c r="H46" s="50"/>
      <c r="I46" s="51"/>
      <c r="J46" s="51"/>
      <c r="K46" s="50"/>
      <c r="L46" s="59"/>
      <c r="M46" s="59"/>
      <c r="N46" s="59"/>
      <c r="O46" s="61"/>
      <c r="P46" s="59"/>
      <c r="R46" s="303" t="s">
        <v>194</v>
      </c>
      <c r="S46" s="313">
        <f>スコア!Q9</f>
        <v>4.5999999999999996</v>
      </c>
      <c r="T46" s="307">
        <f>スコア!W9</f>
        <v>4.5999999999999996</v>
      </c>
      <c r="U46" s="306" t="s">
        <v>755</v>
      </c>
      <c r="V46" s="417">
        <f>スコア!Q34</f>
        <v>3.9</v>
      </c>
      <c r="W46" s="307">
        <f>スコア!W34</f>
        <v>3.9616666666666664</v>
      </c>
      <c r="X46" s="303" t="s">
        <v>756</v>
      </c>
      <c r="Y46" s="293">
        <f>スコア!Q60</f>
        <v>3.8</v>
      </c>
      <c r="Z46" s="293">
        <f>スコア!W60</f>
        <v>3.8050000000000002</v>
      </c>
      <c r="AA46" s="308"/>
      <c r="AB46" s="308"/>
      <c r="AL46" s="1607" t="s">
        <v>1173</v>
      </c>
      <c r="AM46" s="1608">
        <f>IF(AM39="実施する",建築環境SDGs!Z126,0)</f>
        <v>0</v>
      </c>
      <c r="AO46" s="2877" t="s">
        <v>1174</v>
      </c>
      <c r="AP46" s="2877"/>
      <c r="AQ46" s="2877"/>
      <c r="AR46" s="1610">
        <f>1-AR45</f>
        <v>1</v>
      </c>
    </row>
    <row r="47" spans="1:45" ht="15" customHeight="1">
      <c r="A47" s="59"/>
      <c r="B47" s="372"/>
      <c r="C47" s="289"/>
      <c r="D47" s="289"/>
      <c r="E47" s="289"/>
      <c r="F47" s="289"/>
      <c r="G47" s="67"/>
      <c r="H47" s="67"/>
      <c r="I47" s="51"/>
      <c r="J47" s="51"/>
      <c r="K47" s="50"/>
      <c r="L47" s="59"/>
      <c r="M47" s="59"/>
      <c r="N47" s="59"/>
      <c r="O47" s="61"/>
      <c r="P47" s="59"/>
      <c r="S47" s="289"/>
      <c r="AA47" s="308"/>
      <c r="AB47" s="308"/>
      <c r="AL47" s="1607" t="s">
        <v>1175</v>
      </c>
      <c r="AM47" s="1608">
        <f>IF(AM39="実施する",建築環境SDGs!Z127,0)</f>
        <v>0</v>
      </c>
    </row>
    <row r="48" spans="1:45" ht="15" customHeight="1">
      <c r="A48" s="59"/>
      <c r="B48" s="372"/>
      <c r="C48" s="289"/>
      <c r="D48" s="289"/>
      <c r="E48" s="289"/>
      <c r="F48" s="289"/>
      <c r="G48" s="67"/>
      <c r="H48" s="67"/>
      <c r="I48" s="51"/>
      <c r="J48" s="51"/>
      <c r="K48" s="50"/>
      <c r="L48" s="59"/>
      <c r="M48" s="59"/>
      <c r="N48" s="59"/>
      <c r="O48" s="61"/>
      <c r="P48" s="59"/>
      <c r="R48" s="307"/>
      <c r="S48" s="307" t="s">
        <v>742</v>
      </c>
      <c r="T48" s="307" t="s">
        <v>758</v>
      </c>
      <c r="U48" s="307"/>
      <c r="V48" s="307" t="s">
        <v>742</v>
      </c>
      <c r="W48" s="307" t="s">
        <v>758</v>
      </c>
      <c r="X48" s="307"/>
      <c r="Y48" s="377" t="s">
        <v>742</v>
      </c>
      <c r="Z48" s="307" t="s">
        <v>758</v>
      </c>
      <c r="AA48" s="308"/>
      <c r="AB48" s="308"/>
      <c r="AL48" s="1607" t="s">
        <v>1176</v>
      </c>
      <c r="AM48" s="1608">
        <f>IF(AM39="実施する",建築環境SDGs!Z128,0)</f>
        <v>0</v>
      </c>
      <c r="AO48" s="2099" t="s">
        <v>1639</v>
      </c>
      <c r="AP48" s="2878" t="s">
        <v>90</v>
      </c>
      <c r="AQ48" s="2879"/>
      <c r="AR48" s="2100">
        <v>1.5</v>
      </c>
      <c r="AS48" s="2102" t="s">
        <v>1645</v>
      </c>
    </row>
    <row r="49" spans="1:45" ht="15" customHeight="1">
      <c r="A49" s="59"/>
      <c r="B49" s="372"/>
      <c r="C49" s="289"/>
      <c r="D49" s="289"/>
      <c r="E49" s="289"/>
      <c r="F49" s="289"/>
      <c r="G49" s="52"/>
      <c r="H49" s="52"/>
      <c r="I49" s="51"/>
      <c r="J49" s="68"/>
      <c r="K49" s="69"/>
      <c r="L49" s="70"/>
      <c r="M49" s="70"/>
      <c r="N49" s="70"/>
      <c r="O49" s="71"/>
      <c r="P49" s="59"/>
      <c r="R49" s="633" t="s">
        <v>759</v>
      </c>
      <c r="S49" s="313">
        <f>スコア!Q10</f>
        <v>4.5999999999999996</v>
      </c>
      <c r="T49" s="307" t="str">
        <f>IF(S49=0,"N.A.","")</f>
        <v/>
      </c>
      <c r="U49" s="306" t="s">
        <v>565</v>
      </c>
      <c r="V49" s="293">
        <f>スコア!Q35</f>
        <v>3.7</v>
      </c>
      <c r="W49" s="307" t="str">
        <f>IF(V49=0,"N.A.","")</f>
        <v/>
      </c>
      <c r="X49" s="633" t="s">
        <v>350</v>
      </c>
      <c r="Y49" s="293">
        <f>スコア!Q61</f>
        <v>5</v>
      </c>
      <c r="Z49" s="307" t="str">
        <f>IF(Y49=0,"N.A.","")</f>
        <v/>
      </c>
      <c r="AA49" s="308"/>
      <c r="AB49" s="308"/>
      <c r="AL49" s="1607" t="s">
        <v>1177</v>
      </c>
      <c r="AM49" s="1608">
        <f>IF(AM39="実施する",建築環境SDGs!Z129,0)</f>
        <v>0</v>
      </c>
      <c r="AP49" s="2880" t="s">
        <v>1640</v>
      </c>
      <c r="AQ49" s="2881"/>
      <c r="AR49" s="374">
        <v>2.5</v>
      </c>
      <c r="AS49" s="2102" t="s">
        <v>1645</v>
      </c>
    </row>
    <row r="50" spans="1:45" ht="18" customHeight="1">
      <c r="A50" s="59"/>
      <c r="B50" s="612" t="s">
        <v>206</v>
      </c>
      <c r="C50" s="613"/>
      <c r="D50" s="614"/>
      <c r="E50" s="615"/>
      <c r="F50" s="615"/>
      <c r="G50" s="615"/>
      <c r="H50" s="615"/>
      <c r="I50" s="615"/>
      <c r="J50" s="56"/>
      <c r="K50" s="56"/>
      <c r="L50" s="606"/>
      <c r="M50" s="55" t="s">
        <v>204</v>
      </c>
      <c r="N50" s="349">
        <f>スコア!Q67</f>
        <v>3.9</v>
      </c>
      <c r="O50" s="296"/>
      <c r="P50" s="59"/>
      <c r="R50" s="633" t="s">
        <v>760</v>
      </c>
      <c r="S50" s="313">
        <f>スコア!Q20</f>
        <v>4.2</v>
      </c>
      <c r="T50" s="307" t="str">
        <f>IF(S50=0,"N.A.","")</f>
        <v/>
      </c>
      <c r="U50" s="306" t="s">
        <v>519</v>
      </c>
      <c r="V50" s="293">
        <f>スコア!Q46</f>
        <v>3.7</v>
      </c>
      <c r="W50" s="307" t="str">
        <f>IF(V50=0,"N.A.","")</f>
        <v/>
      </c>
      <c r="X50" s="633" t="s">
        <v>392</v>
      </c>
      <c r="Y50" s="293">
        <f>スコア!Q62</f>
        <v>2.2999999999999998</v>
      </c>
      <c r="Z50" s="307" t="str">
        <f>IF(Y50=0,"N.A.","")</f>
        <v/>
      </c>
      <c r="AA50" s="308"/>
      <c r="AB50" s="308"/>
      <c r="AL50" s="1607" t="s">
        <v>1178</v>
      </c>
      <c r="AM50" s="1608">
        <f>IF(AM39="実施する",建築環境SDGs!Z130,0)</f>
        <v>0</v>
      </c>
      <c r="AP50" s="2880" t="s">
        <v>1641</v>
      </c>
      <c r="AQ50" s="2881"/>
      <c r="AR50" s="374">
        <v>3.5</v>
      </c>
      <c r="AS50" s="2102" t="s">
        <v>1645</v>
      </c>
    </row>
    <row r="51" spans="1:45" ht="13.8">
      <c r="A51" s="59"/>
      <c r="B51" s="813"/>
      <c r="C51" s="595" t="s">
        <v>211</v>
      </c>
      <c r="D51" s="595"/>
      <c r="E51" s="596"/>
      <c r="F51" s="595"/>
      <c r="G51" s="595"/>
      <c r="H51" s="595" t="s">
        <v>210</v>
      </c>
      <c r="I51" s="289"/>
      <c r="J51" s="595"/>
      <c r="K51" s="597"/>
      <c r="L51" s="595" t="s">
        <v>217</v>
      </c>
      <c r="M51" s="289"/>
      <c r="N51" s="289"/>
      <c r="O51" s="373"/>
      <c r="P51" s="59"/>
      <c r="R51" s="633" t="s">
        <v>761</v>
      </c>
      <c r="S51" s="313">
        <f>スコア!Q25</f>
        <v>5</v>
      </c>
      <c r="T51" s="307" t="str">
        <f>IF(S51=0,"N.A.","")</f>
        <v/>
      </c>
      <c r="U51" s="306" t="s">
        <v>352</v>
      </c>
      <c r="V51" s="293">
        <f>スコア!Q51</f>
        <v>4.5999999999999996</v>
      </c>
      <c r="W51" s="307" t="str">
        <f>IF(V51=0,"N.A.","")</f>
        <v/>
      </c>
      <c r="X51" s="633" t="s">
        <v>762</v>
      </c>
      <c r="Y51" s="293">
        <f>スコア!Q65</f>
        <v>5</v>
      </c>
      <c r="Z51" s="307" t="str">
        <f>IF(Y51=0,"N.A.","")</f>
        <v/>
      </c>
      <c r="AA51" s="308"/>
      <c r="AB51" s="308"/>
      <c r="AL51" s="1607" t="s">
        <v>1179</v>
      </c>
      <c r="AM51" s="1608">
        <f>IF(AM39="実施する",建築環境SDGs!Z131,0)</f>
        <v>0</v>
      </c>
      <c r="AP51" s="2880" t="s">
        <v>1642</v>
      </c>
      <c r="AQ51" s="2881"/>
      <c r="AR51" s="374">
        <v>4.5</v>
      </c>
      <c r="AS51" s="2102" t="s">
        <v>1645</v>
      </c>
    </row>
    <row r="52" spans="1:45" ht="13.8">
      <c r="A52" s="59"/>
      <c r="B52" s="72"/>
      <c r="C52" s="62"/>
      <c r="D52" s="63"/>
      <c r="E52" s="64"/>
      <c r="F52" s="289"/>
      <c r="G52" s="58">
        <f>S56</f>
        <v>3.9</v>
      </c>
      <c r="H52" s="289"/>
      <c r="I52" s="65"/>
      <c r="J52" s="289"/>
      <c r="K52" s="763">
        <f>V56</f>
        <v>3.4</v>
      </c>
      <c r="L52" s="289"/>
      <c r="M52" s="289"/>
      <c r="N52" s="58"/>
      <c r="O52" s="764">
        <f>Y56</f>
        <v>4.3</v>
      </c>
      <c r="P52" s="59"/>
      <c r="R52" s="633" t="s">
        <v>763</v>
      </c>
      <c r="S52" s="313">
        <f>スコア!Q28</f>
        <v>5</v>
      </c>
      <c r="T52" s="307" t="str">
        <f>IF(S52=0,"N.A.","")</f>
        <v/>
      </c>
      <c r="U52" s="308"/>
      <c r="V52" s="308"/>
      <c r="W52" s="308"/>
      <c r="X52" s="306" t="str">
        <f>重み!C66</f>
        <v>地域の資源の活用と住文化の継承</v>
      </c>
      <c r="Y52" s="293">
        <f>スコア!Q66</f>
        <v>3</v>
      </c>
      <c r="Z52" s="307" t="str">
        <f>IF(Y52=0,"N.A.","")</f>
        <v/>
      </c>
      <c r="AA52" s="308"/>
      <c r="AB52" s="308"/>
      <c r="AL52" s="1607" t="s">
        <v>1180</v>
      </c>
      <c r="AM52" s="1608">
        <f>IF(AM39="実施する",建築環境SDGs!Z132,0)</f>
        <v>0</v>
      </c>
      <c r="AP52" s="2882" t="s">
        <v>1643</v>
      </c>
      <c r="AQ52" s="2883"/>
      <c r="AR52" s="2101">
        <v>4.5</v>
      </c>
      <c r="AS52" s="2102" t="s">
        <v>1644</v>
      </c>
    </row>
    <row r="53" spans="1:45" ht="13.8">
      <c r="A53" s="59"/>
      <c r="B53" s="72"/>
      <c r="C53" s="53"/>
      <c r="D53" s="53"/>
      <c r="E53" s="73"/>
      <c r="F53" s="52"/>
      <c r="G53" s="52"/>
      <c r="H53" s="52"/>
      <c r="I53" s="51"/>
      <c r="J53" s="51"/>
      <c r="K53" s="50"/>
      <c r="L53" s="50"/>
      <c r="M53" s="54"/>
      <c r="N53" s="54"/>
      <c r="O53" s="74"/>
      <c r="P53" s="59"/>
      <c r="R53" s="308"/>
      <c r="S53" s="308"/>
      <c r="T53" s="308"/>
      <c r="U53" s="308"/>
      <c r="V53" s="308"/>
      <c r="W53" s="308"/>
      <c r="X53" s="308"/>
      <c r="Y53" s="308"/>
      <c r="Z53" s="308"/>
      <c r="AA53" s="308"/>
      <c r="AB53" s="308"/>
      <c r="AL53" s="2031" t="s">
        <v>1625</v>
      </c>
      <c r="AM53" s="289">
        <f>建築環境SDGs!V5</f>
        <v>0</v>
      </c>
    </row>
    <row r="54" spans="1:45" ht="15.75" customHeight="1">
      <c r="A54" s="59"/>
      <c r="B54" s="72"/>
      <c r="C54" s="54"/>
      <c r="D54" s="75"/>
      <c r="E54" s="49"/>
      <c r="F54" s="50"/>
      <c r="G54" s="50"/>
      <c r="H54" s="50"/>
      <c r="I54" s="76"/>
      <c r="J54" s="51"/>
      <c r="K54" s="50"/>
      <c r="L54" s="50"/>
      <c r="M54" s="54"/>
      <c r="N54" s="54"/>
      <c r="O54" s="74"/>
      <c r="P54" s="59"/>
      <c r="S54" s="289"/>
      <c r="AA54" s="308"/>
      <c r="AB54" s="308"/>
    </row>
    <row r="55" spans="1:45" ht="15.75" customHeight="1">
      <c r="A55" s="59"/>
      <c r="B55" s="72"/>
      <c r="C55" s="47"/>
      <c r="D55" s="48"/>
      <c r="E55" s="49"/>
      <c r="F55" s="50"/>
      <c r="G55" s="50"/>
      <c r="H55" s="50"/>
      <c r="I55" s="76"/>
      <c r="J55" s="51"/>
      <c r="K55" s="50"/>
      <c r="L55" s="50"/>
      <c r="M55" s="54"/>
      <c r="N55" s="54"/>
      <c r="O55" s="74"/>
      <c r="P55" s="59"/>
      <c r="R55" s="307"/>
      <c r="S55" s="307" t="s">
        <v>742</v>
      </c>
      <c r="T55" s="307" t="s">
        <v>754</v>
      </c>
      <c r="U55" s="307"/>
      <c r="V55" s="307" t="s">
        <v>742</v>
      </c>
      <c r="W55" s="307" t="s">
        <v>754</v>
      </c>
      <c r="X55" s="307"/>
      <c r="Y55" s="307" t="s">
        <v>742</v>
      </c>
      <c r="Z55" s="307" t="s">
        <v>754</v>
      </c>
      <c r="AA55" s="308"/>
      <c r="AB55" s="308"/>
    </row>
    <row r="56" spans="1:45" ht="15.75" customHeight="1">
      <c r="A56" s="59"/>
      <c r="B56" s="77"/>
      <c r="C56" s="47"/>
      <c r="D56" s="48"/>
      <c r="E56" s="49"/>
      <c r="F56" s="50"/>
      <c r="G56" s="50"/>
      <c r="H56" s="50"/>
      <c r="I56" s="76"/>
      <c r="J56" s="51"/>
      <c r="K56" s="50"/>
      <c r="L56" s="50"/>
      <c r="M56" s="54"/>
      <c r="N56" s="54"/>
      <c r="O56" s="74"/>
      <c r="P56" s="59"/>
      <c r="R56" s="306" t="s">
        <v>766</v>
      </c>
      <c r="S56" s="293">
        <f>スコア!Q68</f>
        <v>3.9</v>
      </c>
      <c r="T56" s="293">
        <f>スコア!W68</f>
        <v>3.9624999999999999</v>
      </c>
      <c r="U56" s="306" t="s">
        <v>345</v>
      </c>
      <c r="V56" s="305">
        <f>スコア!Q79</f>
        <v>3.4</v>
      </c>
      <c r="W56" s="305">
        <f>スコア!W79</f>
        <v>3.4800000000000009</v>
      </c>
      <c r="X56" s="306" t="s">
        <v>218</v>
      </c>
      <c r="Y56" s="293">
        <f>スコア!Q96</f>
        <v>4.3</v>
      </c>
      <c r="Z56" s="293">
        <f>スコア!W96</f>
        <v>4.333333333333333</v>
      </c>
      <c r="AA56" s="308"/>
      <c r="AB56" s="308"/>
    </row>
    <row r="57" spans="1:45" ht="15.75" customHeight="1">
      <c r="A57" s="59"/>
      <c r="B57" s="77"/>
      <c r="C57" s="47"/>
      <c r="D57" s="48"/>
      <c r="E57" s="49"/>
      <c r="F57" s="50"/>
      <c r="G57" s="50"/>
      <c r="H57" s="50"/>
      <c r="I57" s="76"/>
      <c r="J57" s="51"/>
      <c r="K57" s="50"/>
      <c r="L57" s="50"/>
      <c r="M57" s="54"/>
      <c r="N57" s="54"/>
      <c r="O57" s="74"/>
      <c r="P57" s="59"/>
      <c r="S57" s="289"/>
      <c r="Y57" s="378"/>
      <c r="AA57" s="308"/>
      <c r="AB57" s="308"/>
    </row>
    <row r="58" spans="1:45" ht="15.75" customHeight="1">
      <c r="A58" s="59"/>
      <c r="B58" s="77"/>
      <c r="C58" s="47"/>
      <c r="D58" s="48"/>
      <c r="E58" s="49"/>
      <c r="F58" s="50"/>
      <c r="G58" s="50"/>
      <c r="H58" s="50"/>
      <c r="I58" s="76"/>
      <c r="J58" s="51"/>
      <c r="K58" s="50"/>
      <c r="L58" s="50"/>
      <c r="M58" s="54"/>
      <c r="N58" s="54"/>
      <c r="O58" s="74"/>
      <c r="P58" s="59"/>
      <c r="R58" s="307"/>
      <c r="S58" s="307" t="s">
        <v>742</v>
      </c>
      <c r="T58" s="307" t="s">
        <v>758</v>
      </c>
      <c r="U58" s="307"/>
      <c r="V58" s="307" t="s">
        <v>742</v>
      </c>
      <c r="W58" s="307" t="s">
        <v>758</v>
      </c>
      <c r="X58" s="307"/>
      <c r="Y58" s="377" t="s">
        <v>742</v>
      </c>
      <c r="Z58" s="307" t="s">
        <v>758</v>
      </c>
      <c r="AA58" s="308"/>
      <c r="AB58" s="308"/>
    </row>
    <row r="59" spans="1:45" ht="15.75" customHeight="1">
      <c r="A59" s="59"/>
      <c r="B59" s="77"/>
      <c r="C59" s="47"/>
      <c r="D59" s="48"/>
      <c r="E59" s="49"/>
      <c r="F59" s="50"/>
      <c r="G59" s="50"/>
      <c r="H59" s="50"/>
      <c r="I59" s="76"/>
      <c r="J59" s="51"/>
      <c r="K59" s="50"/>
      <c r="L59" s="50"/>
      <c r="M59" s="54"/>
      <c r="N59" s="54"/>
      <c r="O59" s="74"/>
      <c r="P59" s="59"/>
      <c r="R59" s="1362" t="s">
        <v>627</v>
      </c>
      <c r="S59" s="312">
        <f>スコア!Q69</f>
        <v>4</v>
      </c>
      <c r="T59" s="307" t="str">
        <f>IF(S59=0,"N.A.","")</f>
        <v/>
      </c>
      <c r="U59" s="756" t="s">
        <v>347</v>
      </c>
      <c r="V59" s="293">
        <f>スコア!Q80</f>
        <v>3.8</v>
      </c>
      <c r="W59" s="307" t="str">
        <f>IF(V59=0,"N.A.","")</f>
        <v/>
      </c>
      <c r="X59" s="306" t="s">
        <v>132</v>
      </c>
      <c r="Y59" s="293">
        <f>スコア!Q97</f>
        <v>4</v>
      </c>
      <c r="Z59" s="307" t="str">
        <f>IF(Y59=0,"N.A.","")</f>
        <v/>
      </c>
      <c r="AA59" s="308"/>
      <c r="AB59" s="308"/>
    </row>
    <row r="60" spans="1:45" ht="15.75" customHeight="1" thickBot="1">
      <c r="A60" s="59"/>
      <c r="B60" s="78"/>
      <c r="C60" s="79"/>
      <c r="D60" s="80"/>
      <c r="E60" s="79"/>
      <c r="F60" s="46"/>
      <c r="G60" s="46"/>
      <c r="H60" s="46"/>
      <c r="I60" s="81"/>
      <c r="J60" s="82"/>
      <c r="K60" s="82"/>
      <c r="L60" s="82"/>
      <c r="M60" s="83"/>
      <c r="N60" s="83"/>
      <c r="O60" s="84"/>
      <c r="P60" s="59"/>
      <c r="R60" s="306" t="s">
        <v>770</v>
      </c>
      <c r="S60" s="312">
        <f>スコア!Q73</f>
        <v>3.7</v>
      </c>
      <c r="T60" s="307" t="str">
        <f>IF(S60=0,"N.A.","")</f>
        <v/>
      </c>
      <c r="U60" s="756" t="s">
        <v>480</v>
      </c>
      <c r="V60" s="293">
        <f>スコア!Q89</f>
        <v>2.2999999999999998</v>
      </c>
      <c r="W60" s="307" t="str">
        <f>IF(V60=0,"N.A.","")</f>
        <v/>
      </c>
      <c r="X60" s="306" t="s">
        <v>133</v>
      </c>
      <c r="Y60" s="293">
        <f>スコア!Q98</f>
        <v>4</v>
      </c>
      <c r="Z60" s="307" t="str">
        <f>IF(Y60=0,"N.A.","")</f>
        <v/>
      </c>
      <c r="AA60" s="308"/>
      <c r="AB60" s="308"/>
    </row>
    <row r="61" spans="1:45" ht="8.25" customHeight="1" thickBot="1">
      <c r="A61" s="59"/>
      <c r="B61" s="85"/>
      <c r="C61" s="76"/>
      <c r="D61" s="86"/>
      <c r="E61" s="49"/>
      <c r="F61" s="50"/>
      <c r="G61" s="50"/>
      <c r="H61" s="50"/>
      <c r="I61" s="51"/>
      <c r="J61" s="51"/>
      <c r="K61" s="50"/>
      <c r="L61" s="50"/>
      <c r="M61" s="54"/>
      <c r="N61" s="54"/>
      <c r="O61" s="83"/>
      <c r="P61" s="59"/>
      <c r="R61" s="306" t="s">
        <v>772</v>
      </c>
      <c r="S61" s="312">
        <f>スコア!Q76</f>
        <v>4</v>
      </c>
      <c r="T61" s="307" t="str">
        <f>IF(S61=0,"N.A.","")</f>
        <v/>
      </c>
      <c r="U61" s="306" t="s">
        <v>771</v>
      </c>
      <c r="V61" s="293">
        <f>スコア!Q93</f>
        <v>5</v>
      </c>
      <c r="W61" s="307" t="str">
        <f>IF(V61=0,"N.A.","")</f>
        <v/>
      </c>
      <c r="X61" s="306" t="s">
        <v>134</v>
      </c>
      <c r="Y61" s="293">
        <f>スコア!Q101</f>
        <v>5</v>
      </c>
      <c r="Z61" s="307" t="str">
        <f>IF(Y61=0,"N.A.","")</f>
        <v/>
      </c>
      <c r="AA61" s="308"/>
      <c r="AB61" s="308"/>
    </row>
    <row r="62" spans="1:45" ht="15.6">
      <c r="A62" s="59"/>
      <c r="B62" s="339" t="s">
        <v>235</v>
      </c>
      <c r="C62" s="598"/>
      <c r="D62" s="599"/>
      <c r="E62" s="598"/>
      <c r="F62" s="598"/>
      <c r="G62" s="598"/>
      <c r="H62" s="600"/>
      <c r="I62" s="601"/>
      <c r="J62" s="598"/>
      <c r="K62" s="598"/>
      <c r="L62" s="598"/>
      <c r="M62" s="602"/>
      <c r="N62" s="602"/>
      <c r="O62" s="603"/>
      <c r="P62" s="59"/>
      <c r="S62" s="289"/>
      <c r="U62" s="308"/>
      <c r="V62" s="311"/>
      <c r="W62" s="308"/>
      <c r="X62" s="308"/>
      <c r="Y62" s="308"/>
      <c r="Z62" s="308"/>
      <c r="AA62" s="308"/>
      <c r="AB62" s="308"/>
    </row>
    <row r="63" spans="1:45" ht="13.8">
      <c r="A63" s="59"/>
      <c r="B63" s="772" t="s">
        <v>813</v>
      </c>
      <c r="C63" s="766"/>
      <c r="D63" s="767"/>
      <c r="E63" s="766"/>
      <c r="F63" s="766"/>
      <c r="G63" s="766"/>
      <c r="H63" s="766"/>
      <c r="I63" s="766"/>
      <c r="J63" s="766"/>
      <c r="K63" s="768"/>
      <c r="L63" s="769" t="s">
        <v>814</v>
      </c>
      <c r="M63" s="770"/>
      <c r="N63" s="770"/>
      <c r="O63" s="771"/>
      <c r="P63" s="59"/>
      <c r="R63" s="308"/>
      <c r="S63" s="308"/>
      <c r="T63" s="308"/>
      <c r="U63" s="308"/>
      <c r="V63" s="311"/>
      <c r="W63" s="308"/>
      <c r="X63" s="308"/>
      <c r="Y63" s="308"/>
      <c r="Z63" s="308"/>
      <c r="AA63" s="308"/>
      <c r="AB63" s="308"/>
    </row>
    <row r="64" spans="1:45" ht="52.5" customHeight="1">
      <c r="A64" s="59"/>
      <c r="B64" s="2853" t="str">
        <f>IF(配慮!C4="","",配慮!C4)</f>
        <v>青森県独自基準「あおもりＧＸ住宅」の基準にのっとり環境設計が十分配慮されている</v>
      </c>
      <c r="C64" s="2854"/>
      <c r="D64" s="2854"/>
      <c r="E64" s="2854"/>
      <c r="F64" s="2854"/>
      <c r="G64" s="2854"/>
      <c r="H64" s="2854"/>
      <c r="I64" s="2854"/>
      <c r="J64" s="2854"/>
      <c r="K64" s="2855"/>
      <c r="L64" s="2856" t="str">
        <f>IF(配慮!C11="","",配慮!C11)</f>
        <v/>
      </c>
      <c r="M64" s="2856"/>
      <c r="N64" s="2856"/>
      <c r="O64" s="2857"/>
      <c r="P64" s="59"/>
      <c r="R64" s="379"/>
      <c r="S64" s="308"/>
      <c r="T64" s="308"/>
      <c r="U64" s="308"/>
      <c r="V64" s="311"/>
      <c r="W64" s="308"/>
      <c r="X64" s="308"/>
      <c r="Y64" s="308"/>
      <c r="Z64" s="308"/>
      <c r="AA64" s="308"/>
      <c r="AB64" s="308"/>
    </row>
    <row r="65" spans="1:28" ht="13.8">
      <c r="A65" s="59"/>
      <c r="B65" s="773" t="s">
        <v>168</v>
      </c>
      <c r="C65" s="770"/>
      <c r="D65" s="770"/>
      <c r="E65" s="770"/>
      <c r="F65" s="770"/>
      <c r="G65" s="774"/>
      <c r="H65" s="775" t="s">
        <v>169</v>
      </c>
      <c r="I65" s="776"/>
      <c r="J65" s="776"/>
      <c r="K65" s="777"/>
      <c r="L65" s="778" t="s">
        <v>170</v>
      </c>
      <c r="M65" s="779"/>
      <c r="N65" s="780"/>
      <c r="O65" s="781"/>
      <c r="P65" s="59"/>
      <c r="R65" s="308"/>
      <c r="S65" s="308"/>
      <c r="T65" s="308"/>
      <c r="U65" s="308"/>
      <c r="V65" s="308"/>
      <c r="W65" s="308"/>
      <c r="X65" s="308"/>
      <c r="Y65" s="308"/>
      <c r="Z65" s="308"/>
      <c r="AA65" s="308"/>
      <c r="AB65" s="308"/>
    </row>
    <row r="66" spans="1:28" ht="50.25" customHeight="1">
      <c r="A66" s="59"/>
      <c r="B66" s="2858" t="str">
        <f>IF(配慮!C5="","",配慮!C5)</f>
        <v>青森県独自基準「あおもりＧＸ住宅」の推奨基準に適し、等級６、一次エネルギー量削減率が３０％以上削減と高い性能を実現している</v>
      </c>
      <c r="C66" s="2856"/>
      <c r="D66" s="2856"/>
      <c r="E66" s="2856"/>
      <c r="F66" s="2856"/>
      <c r="G66" s="2859"/>
      <c r="H66" s="2860" t="str">
        <f>IF(配慮!C6="","",配慮!C6)</f>
        <v>一定の配慮をしている</v>
      </c>
      <c r="I66" s="2856"/>
      <c r="J66" s="2856"/>
      <c r="K66" s="2859"/>
      <c r="L66" s="2860" t="str">
        <f>IF(配慮!C7="","",配慮!C7)</f>
        <v>一定の配慮をしている</v>
      </c>
      <c r="M66" s="2856"/>
      <c r="N66" s="2856"/>
      <c r="O66" s="2857"/>
      <c r="P66" s="59"/>
      <c r="R66" s="308"/>
      <c r="S66" s="308"/>
      <c r="T66" s="308"/>
      <c r="U66" s="308"/>
      <c r="V66" s="308"/>
      <c r="W66" s="308"/>
      <c r="X66" s="308"/>
      <c r="Y66" s="308"/>
      <c r="Z66" s="308"/>
      <c r="AA66" s="308"/>
      <c r="AB66" s="308"/>
    </row>
    <row r="67" spans="1:28" ht="13.8">
      <c r="A67" s="59"/>
      <c r="B67" s="782" t="s">
        <v>171</v>
      </c>
      <c r="C67" s="783"/>
      <c r="D67" s="767"/>
      <c r="E67" s="767"/>
      <c r="F67" s="767"/>
      <c r="G67" s="784"/>
      <c r="H67" s="785" t="s">
        <v>172</v>
      </c>
      <c r="I67" s="770"/>
      <c r="J67" s="770"/>
      <c r="K67" s="774"/>
      <c r="L67" s="786" t="s">
        <v>173</v>
      </c>
      <c r="M67" s="783"/>
      <c r="N67" s="767"/>
      <c r="O67" s="787"/>
      <c r="P67" s="59"/>
      <c r="R67" s="308"/>
      <c r="S67" s="308"/>
      <c r="T67" s="308"/>
      <c r="U67" s="308"/>
      <c r="V67" s="308"/>
      <c r="W67" s="308"/>
      <c r="X67" s="308"/>
      <c r="Y67" s="308"/>
      <c r="Z67" s="308"/>
      <c r="AA67" s="308"/>
      <c r="AB67" s="308"/>
    </row>
    <row r="68" spans="1:28" ht="57.75" customHeight="1" thickBot="1">
      <c r="A68" s="59"/>
      <c r="B68" s="2829" t="str">
        <f>IF(配慮!C8="","",配慮!C8)</f>
        <v>住宅の断熱性能のみならず使用されている設備機器にも環境設計が十分配慮されている</v>
      </c>
      <c r="C68" s="2830"/>
      <c r="D68" s="2830"/>
      <c r="E68" s="2830"/>
      <c r="F68" s="2830"/>
      <c r="G68" s="2831"/>
      <c r="H68" s="2847" t="str">
        <f>IF(配慮!C9="","",配慮!C9)</f>
        <v>一定の配慮をしている</v>
      </c>
      <c r="I68" s="2830"/>
      <c r="J68" s="2830"/>
      <c r="K68" s="2831"/>
      <c r="L68" s="2847" t="str">
        <f>IF(配慮!C10="","",配慮!C10)</f>
        <v>一定の配慮をしている</v>
      </c>
      <c r="M68" s="2830"/>
      <c r="N68" s="2830"/>
      <c r="O68" s="2852"/>
      <c r="P68" s="59"/>
      <c r="R68" s="308"/>
      <c r="S68" s="308"/>
      <c r="T68" s="308"/>
      <c r="U68" s="308"/>
      <c r="V68" s="308"/>
      <c r="W68" s="308"/>
      <c r="X68" s="308"/>
      <c r="Y68" s="308"/>
      <c r="Z68" s="308"/>
      <c r="AA68" s="308"/>
      <c r="AB68" s="308"/>
    </row>
    <row r="69" spans="1:28" ht="4.5" customHeight="1">
      <c r="A69" s="59"/>
      <c r="G69" s="382"/>
      <c r="P69" s="59"/>
      <c r="R69" s="308"/>
      <c r="S69" s="308"/>
      <c r="T69" s="308"/>
      <c r="U69" s="308"/>
      <c r="V69" s="308"/>
      <c r="W69" s="308"/>
      <c r="X69" s="308"/>
      <c r="Y69" s="308"/>
      <c r="Z69" s="308"/>
      <c r="AA69" s="308"/>
      <c r="AB69" s="308"/>
    </row>
    <row r="70" spans="1:28" ht="13.8">
      <c r="R70" s="308"/>
      <c r="S70" s="308"/>
      <c r="T70" s="308"/>
      <c r="U70" s="308"/>
      <c r="V70" s="308"/>
      <c r="W70" s="308"/>
      <c r="X70" s="308"/>
      <c r="Y70" s="308"/>
      <c r="Z70" s="308"/>
      <c r="AA70" s="308"/>
      <c r="AB70" s="308"/>
    </row>
    <row r="71" spans="1:28" ht="14.25" customHeight="1">
      <c r="R71" s="308"/>
      <c r="S71" s="308"/>
      <c r="T71" s="308"/>
      <c r="U71" s="308"/>
      <c r="V71" s="308"/>
      <c r="W71" s="308"/>
      <c r="X71" s="308"/>
      <c r="Y71" s="308"/>
      <c r="Z71" s="308"/>
      <c r="AA71" s="308"/>
      <c r="AB71" s="308"/>
    </row>
    <row r="72" spans="1:28" ht="14.25" customHeight="1">
      <c r="R72" s="308"/>
      <c r="S72" s="308"/>
      <c r="T72" s="308"/>
      <c r="U72" s="308"/>
      <c r="V72" s="308"/>
      <c r="W72" s="308"/>
      <c r="X72" s="308"/>
      <c r="Y72" s="308"/>
      <c r="Z72" s="308"/>
      <c r="AA72" s="308"/>
      <c r="AB72" s="308"/>
    </row>
    <row r="73" spans="1:28" ht="14.25" customHeight="1"/>
    <row r="74" spans="1:28" ht="14.25" customHeight="1"/>
    <row r="75" spans="1:28" ht="14.25" customHeight="1"/>
    <row r="76" spans="1:28" ht="14.25" hidden="1" customHeight="1"/>
    <row r="77" spans="1:28" ht="14.25" hidden="1" customHeight="1"/>
  </sheetData>
  <sheetProtection sheet="1" objects="1" scenarios="1"/>
  <mergeCells count="31">
    <mergeCell ref="AO44:AQ44"/>
    <mergeCell ref="AO45:AQ45"/>
    <mergeCell ref="AO46:AQ46"/>
    <mergeCell ref="B66:G66"/>
    <mergeCell ref="H66:K66"/>
    <mergeCell ref="L66:O66"/>
    <mergeCell ref="AP48:AQ48"/>
    <mergeCell ref="AP49:AQ49"/>
    <mergeCell ref="AP50:AQ50"/>
    <mergeCell ref="AP51:AQ51"/>
    <mergeCell ref="AP52:AQ52"/>
    <mergeCell ref="B68:G68"/>
    <mergeCell ref="H68:K68"/>
    <mergeCell ref="L68:O68"/>
    <mergeCell ref="G17:G18"/>
    <mergeCell ref="D19:F19"/>
    <mergeCell ref="H32:H33"/>
    <mergeCell ref="H35:K37"/>
    <mergeCell ref="B64:K64"/>
    <mergeCell ref="L64:O64"/>
    <mergeCell ref="Q2:Q5"/>
    <mergeCell ref="D8:F8"/>
    <mergeCell ref="D9:F9"/>
    <mergeCell ref="D10:F10"/>
    <mergeCell ref="D11:F11"/>
    <mergeCell ref="D15:F15"/>
    <mergeCell ref="D12:F12"/>
    <mergeCell ref="H12:K14"/>
    <mergeCell ref="D13:F13"/>
    <mergeCell ref="G13:G14"/>
    <mergeCell ref="D14:F14"/>
  </mergeCells>
  <phoneticPr fontId="4"/>
  <conditionalFormatting sqref="H26:H32 I26:K34 H34">
    <cfRule type="expression" dxfId="164" priority="7" stopIfTrue="1">
      <formula>$U$36=$W$37</formula>
    </cfRule>
  </conditionalFormatting>
  <hyperlinks>
    <hyperlink ref="Q2" location="メイン!A1" display="戻る" xr:uid="{B3FC701D-03C8-4E55-AA2C-79E5604FFEF4}"/>
  </hyperlinks>
  <printOptions horizontalCentered="1"/>
  <pageMargins left="0.70866141732283472" right="0.62992125984251968" top="0.78740157480314965" bottom="0.78740157480314965" header="0.51181102362204722" footer="0.51181102362204722"/>
  <pageSetup paperSize="9" scale="66" orientation="portrait" horizontalDpi="4294967293" verticalDpi="4294967293" r:id="rId1"/>
  <headerFooter alignWithMargins="0">
    <oddHeader>&amp;L&amp;F&amp;R&amp;A</oddHeader>
    <oddFooter>&amp;C&amp;P/&amp;N</oddFooter>
  </headerFooter>
  <colBreaks count="1" manualBreakCount="1">
    <brk id="1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B1:G12"/>
  <sheetViews>
    <sheetView showGridLines="0" topLeftCell="A5" zoomScale="80" zoomScaleNormal="80" workbookViewId="0">
      <selection activeCell="C7" sqref="C7:E7"/>
    </sheetView>
  </sheetViews>
  <sheetFormatPr defaultColWidth="0" defaultRowHeight="13.2" zeroHeight="1"/>
  <cols>
    <col min="1" max="1" width="0.88671875" customWidth="1"/>
    <col min="2" max="2" width="17.33203125" customWidth="1"/>
    <col min="3" max="3" width="38" style="321" customWidth="1"/>
    <col min="4" max="4" width="17.21875" style="321" customWidth="1"/>
    <col min="5" max="5" width="28.33203125" customWidth="1"/>
    <col min="6" max="6" width="1.33203125" customWidth="1"/>
  </cols>
  <sheetData>
    <row r="1" spans="2:7" ht="21">
      <c r="B1" s="315" t="s">
        <v>482</v>
      </c>
      <c r="C1" s="316"/>
      <c r="D1" s="860" t="s">
        <v>362</v>
      </c>
      <c r="E1" s="317" t="str">
        <f>IF(メイン!$C$10="","",メイン!$C$10)</f>
        <v>あおもりGX</v>
      </c>
    </row>
    <row r="2" spans="2:7" s="8" customFormat="1" ht="13.8" thickBot="1">
      <c r="B2" s="322"/>
      <c r="C2" s="323"/>
      <c r="D2" s="323"/>
      <c r="E2" s="323"/>
      <c r="F2" s="318"/>
      <c r="G2" s="318"/>
    </row>
    <row r="3" spans="2:7" ht="21" customHeight="1" thickBot="1">
      <c r="B3" s="2885" t="s">
        <v>361</v>
      </c>
      <c r="C3" s="2886"/>
      <c r="D3" s="2886"/>
      <c r="E3" s="2887"/>
    </row>
    <row r="4" spans="2:7" ht="81" customHeight="1" thickTop="1">
      <c r="B4" s="319" t="s">
        <v>856</v>
      </c>
      <c r="C4" s="2889" t="s">
        <v>2175</v>
      </c>
      <c r="D4" s="2889"/>
      <c r="E4" s="2889"/>
    </row>
    <row r="5" spans="2:7" ht="81" customHeight="1">
      <c r="B5" s="564" t="s">
        <v>955</v>
      </c>
      <c r="C5" s="2890" t="s">
        <v>2176</v>
      </c>
      <c r="D5" s="2890"/>
      <c r="E5" s="2890"/>
    </row>
    <row r="6" spans="2:7" ht="81" customHeight="1">
      <c r="B6" s="564" t="s">
        <v>956</v>
      </c>
      <c r="C6" s="2890" t="s">
        <v>2177</v>
      </c>
      <c r="D6" s="2890"/>
      <c r="E6" s="2890"/>
    </row>
    <row r="7" spans="2:7" ht="81" customHeight="1">
      <c r="B7" s="564" t="s">
        <v>957</v>
      </c>
      <c r="C7" s="2890" t="s">
        <v>2177</v>
      </c>
      <c r="D7" s="2890"/>
      <c r="E7" s="2890"/>
    </row>
    <row r="8" spans="2:7" ht="81" customHeight="1">
      <c r="B8" s="564" t="s">
        <v>958</v>
      </c>
      <c r="C8" s="2890" t="s">
        <v>2178</v>
      </c>
      <c r="D8" s="2890"/>
      <c r="E8" s="2890"/>
    </row>
    <row r="9" spans="2:7" ht="81" customHeight="1">
      <c r="B9" s="564" t="s">
        <v>959</v>
      </c>
      <c r="C9" s="2890" t="s">
        <v>2177</v>
      </c>
      <c r="D9" s="2890"/>
      <c r="E9" s="2890"/>
    </row>
    <row r="10" spans="2:7" ht="81" customHeight="1" thickBot="1">
      <c r="B10" s="565" t="s">
        <v>960</v>
      </c>
      <c r="C10" s="2884" t="s">
        <v>2177</v>
      </c>
      <c r="D10" s="2884"/>
      <c r="E10" s="2884"/>
    </row>
    <row r="11" spans="2:7" ht="122.25" customHeight="1" thickTop="1" thickBot="1">
      <c r="B11" s="320" t="s">
        <v>855</v>
      </c>
      <c r="C11" s="2888"/>
      <c r="D11" s="2888"/>
      <c r="E11" s="2888"/>
    </row>
    <row r="12" spans="2:7"/>
  </sheetData>
  <sheetProtection algorithmName="SHA-512" hashValue="RQ0hou5OKLXium5O2jZf941mZ6fdV7fyQMlrWcI4hL6oChgvvGkPaTE+/av91IOCqyqldPQ+0Hwg2vAVOk5yHg==" saltValue="Bw9q+4kuBGb32bHZ0Qi7aA==" spinCount="100000" sheet="1" objects="1" scenarios="1"/>
  <mergeCells count="9">
    <mergeCell ref="C10:E10"/>
    <mergeCell ref="B3:E3"/>
    <mergeCell ref="C11:E11"/>
    <mergeCell ref="C4:E4"/>
    <mergeCell ref="C5:E5"/>
    <mergeCell ref="C6:E6"/>
    <mergeCell ref="C7:E7"/>
    <mergeCell ref="C8:E8"/>
    <mergeCell ref="C9:E9"/>
  </mergeCells>
  <phoneticPr fontId="4"/>
  <printOptions horizontalCentered="1"/>
  <pageMargins left="1.1811023622047245" right="0.98425196850393704" top="0.78740157480314965" bottom="0.78740157480314965" header="0.51181102362204722" footer="0.51181102362204722"/>
  <pageSetup paperSize="9" scale="76" orientation="portrait" verticalDpi="300" r:id="rId1"/>
  <headerFooter alignWithMargins="0">
    <oddHeader>&amp;L&amp;F&amp;R&amp;A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B805B-2FDB-4E22-BE4A-37736F9F795E}">
  <dimension ref="A1:O33"/>
  <sheetViews>
    <sheetView zoomScaleNormal="100" workbookViewId="0">
      <selection activeCell="J23" sqref="J23"/>
    </sheetView>
  </sheetViews>
  <sheetFormatPr defaultColWidth="0" defaultRowHeight="13.2" customHeight="1" zeroHeight="1"/>
  <cols>
    <col min="1" max="1" width="4.44140625" customWidth="1"/>
    <col min="2" max="2" width="8.88671875" customWidth="1"/>
    <col min="3" max="3" width="17.77734375" customWidth="1"/>
    <col min="4" max="4" width="18.33203125" customWidth="1"/>
    <col min="5" max="5" width="16" customWidth="1"/>
    <col min="6" max="6" width="5.77734375" customWidth="1"/>
    <col min="7" max="7" width="8.88671875" customWidth="1"/>
    <col min="8" max="8" width="8.6640625" customWidth="1"/>
    <col min="9" max="9" width="0.77734375" hidden="1" customWidth="1"/>
    <col min="10" max="10" width="17.88671875" customWidth="1"/>
    <col min="11" max="11" width="2.77734375" customWidth="1"/>
    <col min="12" max="15" width="0" hidden="1" customWidth="1"/>
    <col min="16" max="16384" width="6.88671875" hidden="1"/>
  </cols>
  <sheetData>
    <row r="1" spans="1:15" ht="15.6">
      <c r="A1" s="2351" t="s">
        <v>991</v>
      </c>
      <c r="B1" s="2352"/>
      <c r="C1" s="2352"/>
      <c r="D1" s="6"/>
      <c r="E1" s="2352"/>
      <c r="F1" s="2353" t="s">
        <v>979</v>
      </c>
      <c r="G1" s="6"/>
      <c r="H1" s="6"/>
      <c r="I1" s="6"/>
      <c r="J1" s="6"/>
      <c r="K1" s="6"/>
    </row>
    <row r="2" spans="1:15">
      <c r="A2" s="2351"/>
      <c r="B2" s="2352"/>
      <c r="C2" s="2352"/>
      <c r="D2" s="6"/>
      <c r="E2" s="2352"/>
      <c r="F2" s="2352"/>
      <c r="G2" s="6"/>
      <c r="H2" s="6"/>
      <c r="I2" s="6"/>
      <c r="J2" s="1194"/>
      <c r="K2" s="6"/>
    </row>
    <row r="3" spans="1:15">
      <c r="A3" s="2351"/>
      <c r="B3" s="2352" t="str">
        <f>"◆"&amp;L3&amp;"標準計算に用いる排出係数"</f>
        <v>◆戸建住宅標準計算に用いる排出係数</v>
      </c>
      <c r="C3" s="2352"/>
      <c r="D3" s="2608"/>
      <c r="E3" s="2352"/>
      <c r="F3" s="2609"/>
      <c r="G3" s="2608"/>
      <c r="H3" s="2608"/>
      <c r="I3" s="2608"/>
      <c r="J3" s="2608"/>
      <c r="K3" s="2608"/>
      <c r="L3" t="str">
        <f>IF(メイン!C11=メイン!I10,メイン!I10,メイン!I11)</f>
        <v>戸建住宅</v>
      </c>
    </row>
    <row r="4" spans="1:15" ht="13.8" thickBot="1">
      <c r="A4" s="2351"/>
      <c r="B4" s="2352" t="s">
        <v>150</v>
      </c>
      <c r="C4" s="2352"/>
      <c r="D4" s="10" t="s">
        <v>1768</v>
      </c>
      <c r="E4" s="2352" t="str">
        <f>"（参考）調整後排出係数（「"&amp;L3&amp;"独自計算」で使用可能）"</f>
        <v>（参考）調整後排出係数（「戸建住宅独自計算」で使用可能）</v>
      </c>
      <c r="F4" s="2609"/>
      <c r="G4" s="2608"/>
      <c r="H4" s="2608"/>
      <c r="I4" s="2608"/>
      <c r="J4" s="2608"/>
      <c r="K4" s="2608"/>
      <c r="O4" s="2375"/>
    </row>
    <row r="5" spans="1:15" ht="13.8" thickBot="1">
      <c r="A5" s="2351"/>
      <c r="B5" s="2354" t="str">
        <f>メイン!C17</f>
        <v>東北電力(株)</v>
      </c>
      <c r="C5" s="2355"/>
      <c r="D5" s="1195">
        <f>IF(B5=0,L5,VLOOKUP($B$5,$B$10:$E$20,3,FALSE))</f>
        <v>4.7699999999999999E-4</v>
      </c>
      <c r="E5" s="2356">
        <f>VLOOKUP($B$5,$B$10:$E$20,4,FALSE)</f>
        <v>4.6000000000000001E-4</v>
      </c>
      <c r="F5" s="2357"/>
      <c r="G5" s="2608"/>
      <c r="H5" s="2608"/>
      <c r="I5" s="2608"/>
      <c r="J5" s="2608"/>
      <c r="K5" s="2608"/>
      <c r="L5" t="s">
        <v>166</v>
      </c>
    </row>
    <row r="6" spans="1:15">
      <c r="A6" s="2351"/>
      <c r="B6" s="2352"/>
      <c r="C6" s="2352"/>
      <c r="D6" s="10"/>
      <c r="E6" s="2352"/>
      <c r="F6" s="2609"/>
      <c r="G6" s="2608"/>
      <c r="H6" s="2608"/>
      <c r="I6" s="2608"/>
      <c r="J6" s="2608"/>
      <c r="K6" s="2608"/>
    </row>
    <row r="7" spans="1:15" ht="48.75" customHeight="1">
      <c r="A7" s="2358"/>
      <c r="B7" s="2893" t="s">
        <v>1161</v>
      </c>
      <c r="C7" s="2893"/>
      <c r="D7" s="2893"/>
      <c r="E7" s="2893"/>
      <c r="F7" s="2609"/>
      <c r="G7" s="2894" t="s">
        <v>2141</v>
      </c>
      <c r="H7" s="2895"/>
      <c r="I7" s="2895"/>
      <c r="J7" s="2895"/>
      <c r="K7" s="2608"/>
    </row>
    <row r="8" spans="1:15" ht="14.25" customHeight="1">
      <c r="A8" s="2358"/>
      <c r="B8" s="2896" t="s">
        <v>1162</v>
      </c>
      <c r="C8" s="2896"/>
      <c r="D8" s="2896"/>
      <c r="E8" s="2896"/>
      <c r="F8" s="2610"/>
      <c r="G8" s="2897"/>
      <c r="H8" s="2897"/>
      <c r="I8" s="2897"/>
      <c r="J8" s="2897"/>
      <c r="K8" s="2608"/>
    </row>
    <row r="9" spans="1:15" ht="13.8" thickBot="1">
      <c r="A9" s="2188"/>
      <c r="B9" s="2359" t="s">
        <v>165</v>
      </c>
      <c r="C9" s="2360"/>
      <c r="D9" s="2361" t="s">
        <v>1160</v>
      </c>
      <c r="E9" s="2362" t="s">
        <v>151</v>
      </c>
      <c r="F9" s="2352"/>
      <c r="G9" s="2898" t="s">
        <v>1825</v>
      </c>
      <c r="H9" s="2899"/>
      <c r="I9" s="2900" t="s">
        <v>1163</v>
      </c>
      <c r="J9" s="2901"/>
      <c r="K9" s="2608"/>
    </row>
    <row r="10" spans="1:15" ht="13.8" thickBot="1">
      <c r="A10" s="2188"/>
      <c r="B10" s="2359" t="s">
        <v>1871</v>
      </c>
      <c r="C10" s="2360"/>
      <c r="D10" s="2363">
        <f>H10</f>
        <v>5.3300000000000005E-4</v>
      </c>
      <c r="E10" s="2364">
        <f>J10</f>
        <v>5.3499999999999999E-4</v>
      </c>
      <c r="F10" s="2352"/>
      <c r="G10" s="2365"/>
      <c r="H10" s="2611">
        <v>5.3300000000000005E-4</v>
      </c>
      <c r="I10" s="2365">
        <v>6.5600000000000001E-4</v>
      </c>
      <c r="J10" s="2612">
        <v>5.3499999999999999E-4</v>
      </c>
      <c r="K10" s="2608"/>
    </row>
    <row r="11" spans="1:15" ht="13.8" thickBot="1">
      <c r="A11" s="2188"/>
      <c r="B11" s="2359" t="s">
        <v>1872</v>
      </c>
      <c r="C11" s="2360"/>
      <c r="D11" s="2363">
        <f t="shared" ref="D11:D19" si="0">H11</f>
        <v>4.7699999999999999E-4</v>
      </c>
      <c r="E11" s="2364">
        <f t="shared" ref="E11:E19" si="1">J11</f>
        <v>4.6000000000000001E-4</v>
      </c>
      <c r="F11" s="2352"/>
      <c r="G11" s="2365"/>
      <c r="H11" s="2611">
        <v>4.7699999999999999E-4</v>
      </c>
      <c r="I11" s="2365">
        <v>5.2800000000000004E-4</v>
      </c>
      <c r="J11" s="2612">
        <v>4.6000000000000001E-4</v>
      </c>
      <c r="K11" s="2608"/>
      <c r="L11" s="2366"/>
    </row>
    <row r="12" spans="1:15" ht="13.8" thickBot="1">
      <c r="A12" s="2188"/>
      <c r="B12" s="2359" t="s">
        <v>1873</v>
      </c>
      <c r="C12" s="2360"/>
      <c r="D12" s="2363">
        <f t="shared" si="0"/>
        <v>4.57E-4</v>
      </c>
      <c r="E12" s="2364">
        <f t="shared" si="1"/>
        <v>3.7599999999999998E-4</v>
      </c>
      <c r="F12" s="2352"/>
      <c r="G12" s="2365"/>
      <c r="H12" s="2611">
        <v>4.57E-4</v>
      </c>
      <c r="I12" s="2365">
        <v>4.55E-4</v>
      </c>
      <c r="J12" s="2612">
        <v>3.7599999999999998E-4</v>
      </c>
      <c r="K12" s="2608"/>
    </row>
    <row r="13" spans="1:15" ht="13.8" thickBot="1">
      <c r="A13" s="2188"/>
      <c r="B13" s="2359" t="s">
        <v>1874</v>
      </c>
      <c r="C13" s="2360"/>
      <c r="D13" s="2363">
        <f t="shared" si="0"/>
        <v>4.3300000000000001E-4</v>
      </c>
      <c r="E13" s="2364">
        <f t="shared" si="1"/>
        <v>4.4000000000000002E-4</v>
      </c>
      <c r="F13" s="2352"/>
      <c r="G13" s="2365"/>
      <c r="H13" s="2611">
        <v>4.3300000000000001E-4</v>
      </c>
      <c r="I13" s="2365">
        <v>4.5199999999999998E-4</v>
      </c>
      <c r="J13" s="2612">
        <v>4.4000000000000002E-4</v>
      </c>
      <c r="K13" s="2608"/>
    </row>
    <row r="14" spans="1:15" ht="13.8" thickBot="1">
      <c r="A14" s="2188"/>
      <c r="B14" s="2359" t="s">
        <v>1875</v>
      </c>
      <c r="C14" s="2360"/>
      <c r="D14" s="2363">
        <f t="shared" si="0"/>
        <v>4.8700000000000002E-4</v>
      </c>
      <c r="E14" s="2364">
        <f t="shared" si="1"/>
        <v>4.9899999999999999E-4</v>
      </c>
      <c r="F14" s="2352"/>
      <c r="G14" s="2365"/>
      <c r="H14" s="2611">
        <v>4.8700000000000002E-4</v>
      </c>
      <c r="I14" s="2365">
        <v>5.2599999999999999E-4</v>
      </c>
      <c r="J14" s="2612">
        <v>4.9899999999999999E-4</v>
      </c>
      <c r="K14" s="2608"/>
    </row>
    <row r="15" spans="1:15" ht="13.8" thickBot="1">
      <c r="A15" s="2188"/>
      <c r="B15" s="2359" t="s">
        <v>1880</v>
      </c>
      <c r="C15" s="2360"/>
      <c r="D15" s="2363">
        <f t="shared" si="0"/>
        <v>3.6000000000000002E-4</v>
      </c>
      <c r="E15" s="2364">
        <f t="shared" si="1"/>
        <v>4.2000000000000002E-4</v>
      </c>
      <c r="F15" s="2352"/>
      <c r="G15" s="2365"/>
      <c r="H15" s="2611">
        <v>3.6000000000000002E-4</v>
      </c>
      <c r="I15" s="2365">
        <v>3.3399999999999999E-4</v>
      </c>
      <c r="J15" s="2612">
        <v>4.2000000000000002E-4</v>
      </c>
      <c r="K15" s="2608"/>
    </row>
    <row r="16" spans="1:15" ht="13.8" thickBot="1">
      <c r="A16" s="2188"/>
      <c r="B16" s="2359" t="s">
        <v>1876</v>
      </c>
      <c r="C16" s="2360"/>
      <c r="D16" s="2363">
        <f t="shared" si="0"/>
        <v>5.3700000000000004E-4</v>
      </c>
      <c r="E16" s="2364">
        <f t="shared" si="1"/>
        <v>5.44E-4</v>
      </c>
      <c r="F16" s="2352"/>
      <c r="G16" s="2365"/>
      <c r="H16" s="2611">
        <v>5.3700000000000004E-4</v>
      </c>
      <c r="I16" s="2365">
        <v>6.3599999999999996E-4</v>
      </c>
      <c r="J16" s="2612">
        <v>5.44E-4</v>
      </c>
      <c r="K16" s="2608"/>
    </row>
    <row r="17" spans="1:11" ht="13.8" thickBot="1">
      <c r="A17" s="2188"/>
      <c r="B17" s="2359" t="s">
        <v>1877</v>
      </c>
      <c r="C17" s="2360"/>
      <c r="D17" s="2363">
        <f t="shared" si="0"/>
        <v>3.6999999999999999E-4</v>
      </c>
      <c r="E17" s="2364">
        <f t="shared" si="1"/>
        <v>4.4700000000000002E-4</v>
      </c>
      <c r="F17" s="2352"/>
      <c r="G17" s="2365"/>
      <c r="H17" s="2611">
        <v>3.6999999999999999E-4</v>
      </c>
      <c r="I17" s="2365">
        <v>5.2800000000000004E-4</v>
      </c>
      <c r="J17" s="2612">
        <v>4.4700000000000002E-4</v>
      </c>
      <c r="K17" s="2608"/>
    </row>
    <row r="18" spans="1:11" ht="13.8" thickBot="1">
      <c r="A18" s="2188"/>
      <c r="B18" s="2613" t="s">
        <v>1878</v>
      </c>
      <c r="C18" s="2367"/>
      <c r="D18" s="2363">
        <f t="shared" si="0"/>
        <v>4.0700000000000003E-4</v>
      </c>
      <c r="E18" s="2364">
        <f t="shared" si="1"/>
        <v>4.6200000000000001E-4</v>
      </c>
      <c r="F18" s="2352"/>
      <c r="G18" s="2365"/>
      <c r="H18" s="2611">
        <v>4.0700000000000003E-4</v>
      </c>
      <c r="I18" s="2365">
        <v>3.4699999999999998E-4</v>
      </c>
      <c r="J18" s="2612">
        <v>4.6200000000000001E-4</v>
      </c>
      <c r="K18" s="2608"/>
    </row>
    <row r="19" spans="1:11" ht="13.8" thickBot="1">
      <c r="A19" s="2188"/>
      <c r="B19" s="2614" t="s">
        <v>1879</v>
      </c>
      <c r="C19" s="2359"/>
      <c r="D19" s="2363">
        <f t="shared" si="0"/>
        <v>7.1000000000000002E-4</v>
      </c>
      <c r="E19" s="2364">
        <f t="shared" si="1"/>
        <v>6.7500000000000004E-4</v>
      </c>
      <c r="F19" s="2352"/>
      <c r="G19" s="2365"/>
      <c r="H19" s="2611">
        <v>7.1000000000000002E-4</v>
      </c>
      <c r="I19" s="2365">
        <v>7.8700000000000005E-4</v>
      </c>
      <c r="J19" s="2612">
        <v>6.7500000000000004E-4</v>
      </c>
      <c r="K19" s="2608"/>
    </row>
    <row r="20" spans="1:11" ht="13.8" hidden="1" thickBot="1">
      <c r="A20" s="2188"/>
      <c r="B20" s="2368" t="s">
        <v>152</v>
      </c>
      <c r="C20" s="2369"/>
      <c r="D20" s="2370">
        <f>D23</f>
        <v>4.2900000000000002E-4</v>
      </c>
      <c r="E20" s="2371">
        <f>E23</f>
        <v>0</v>
      </c>
      <c r="F20" s="2352"/>
      <c r="G20" s="2353"/>
      <c r="H20" s="2353"/>
      <c r="I20" s="2353"/>
      <c r="J20" s="2353"/>
      <c r="K20" s="2608"/>
    </row>
    <row r="21" spans="1:11">
      <c r="A21" s="10"/>
      <c r="B21" s="1196" t="s">
        <v>153</v>
      </c>
      <c r="C21" s="10"/>
      <c r="D21" s="10"/>
      <c r="E21" s="10"/>
      <c r="F21" s="10"/>
      <c r="G21" s="1601"/>
      <c r="H21" s="10"/>
      <c r="I21" s="10"/>
      <c r="J21" s="1602" t="s">
        <v>1164</v>
      </c>
      <c r="K21" s="2608"/>
    </row>
    <row r="22" spans="1:11" ht="13.8" thickBot="1">
      <c r="A22" s="2188"/>
      <c r="B22" s="2359" t="s">
        <v>154</v>
      </c>
      <c r="C22" s="2372"/>
      <c r="D22" s="10"/>
      <c r="E22" s="10"/>
      <c r="F22" s="2352"/>
      <c r="G22" s="10"/>
      <c r="H22" s="10"/>
      <c r="I22" s="10"/>
      <c r="J22" s="10"/>
      <c r="K22" s="2608"/>
    </row>
    <row r="23" spans="1:11" ht="13.8" thickBot="1">
      <c r="A23" s="2188"/>
      <c r="B23" s="2891" t="str">
        <f>G23</f>
        <v>代替値</v>
      </c>
      <c r="C23" s="2892"/>
      <c r="D23" s="2373">
        <f>H23</f>
        <v>4.2900000000000002E-4</v>
      </c>
      <c r="E23" s="2374"/>
      <c r="F23" s="2352"/>
      <c r="G23" s="1533" t="s">
        <v>1051</v>
      </c>
      <c r="H23" s="2615">
        <v>4.2900000000000002E-4</v>
      </c>
      <c r="I23" s="10"/>
      <c r="J23" s="10"/>
      <c r="K23" s="2608"/>
    </row>
    <row r="24" spans="1:11">
      <c r="A24" s="6"/>
      <c r="B24" s="2608"/>
      <c r="C24" s="2608"/>
      <c r="D24" s="2616" t="s">
        <v>155</v>
      </c>
      <c r="E24" s="2608"/>
      <c r="F24" s="2608"/>
      <c r="G24" s="2608"/>
      <c r="H24" s="2608"/>
      <c r="I24" s="2608"/>
      <c r="J24" s="2608"/>
      <c r="K24" s="2608"/>
    </row>
    <row r="25" spans="1:11" ht="13.8" thickBot="1">
      <c r="A25" s="6"/>
      <c r="B25" s="2608"/>
      <c r="C25" s="2608"/>
      <c r="D25" s="1371" t="s">
        <v>156</v>
      </c>
      <c r="E25" s="2608"/>
      <c r="F25" s="2608"/>
      <c r="G25" s="2608"/>
      <c r="H25" s="2608"/>
      <c r="I25" s="2608"/>
      <c r="J25" s="2608"/>
      <c r="K25" s="2608"/>
    </row>
    <row r="26" spans="1:11" ht="13.8" thickBot="1">
      <c r="A26" s="6"/>
      <c r="B26" s="2608"/>
      <c r="C26" s="2608"/>
      <c r="D26" s="2608"/>
      <c r="E26" s="2608"/>
      <c r="F26" s="1194" t="s">
        <v>157</v>
      </c>
      <c r="G26" s="1197"/>
      <c r="H26" s="2617" t="str">
        <f>"が「"&amp;L3&amp;"標準計算」で用いられる値"</f>
        <v>が「戸建住宅標準計算」で用いられる値</v>
      </c>
      <c r="I26" s="2608"/>
      <c r="J26" s="2608"/>
      <c r="K26" s="2608"/>
    </row>
    <row r="27" spans="1:11" ht="7.5" customHeight="1">
      <c r="A27" s="6"/>
      <c r="B27" s="2608"/>
      <c r="C27" s="2608"/>
      <c r="D27" s="2608"/>
      <c r="E27" s="2608"/>
      <c r="F27" s="2608"/>
      <c r="G27" s="2608"/>
      <c r="H27" s="2608"/>
      <c r="I27" s="2608"/>
      <c r="J27" s="2608"/>
      <c r="K27" s="2608"/>
    </row>
    <row r="33" customFormat="1" ht="13.2" hidden="1" customHeight="1"/>
  </sheetData>
  <sheetProtection algorithmName="SHA-512" hashValue="7Ovb3cgdd71OB/ziAVXucoRNV9wCrfE2/BYngfY9yU4QBLA4PyKfEV4J+soJC+xZKGYzufTr7lpEzSH78JR3Eg==" saltValue="P/oD1tlvJo/n1PGiqZWzAQ==" spinCount="100000" sheet="1" objects="1" scenarios="1"/>
  <mergeCells count="7">
    <mergeCell ref="B23:C23"/>
    <mergeCell ref="B7:E7"/>
    <mergeCell ref="G7:J7"/>
    <mergeCell ref="B8:E8"/>
    <mergeCell ref="G8:J8"/>
    <mergeCell ref="G9:H9"/>
    <mergeCell ref="I9:J9"/>
  </mergeCells>
  <phoneticPr fontId="4"/>
  <pageMargins left="0.74803149606299213" right="0.74803149606299213" top="0.98425196850393704" bottom="0.98425196850393704" header="0.51181102362204722" footer="0.51181102362204722"/>
  <pageSetup paperSize="9" scale="79" orientation="portrait" verticalDpi="4294967293" r:id="rId1"/>
  <headerFooter alignWithMargins="0">
    <oddHeader>&amp;L&amp;F&amp;R&amp;A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autoPageBreaks="0" fitToPage="1"/>
  </sheetPr>
  <dimension ref="A1:AA133"/>
  <sheetViews>
    <sheetView showGridLines="0" zoomScaleNormal="100" zoomScaleSheetLayoutView="100" workbookViewId="0">
      <selection activeCell="C89" sqref="C89"/>
    </sheetView>
  </sheetViews>
  <sheetFormatPr defaultColWidth="0" defaultRowHeight="12.6" customHeight="1" zeroHeight="1"/>
  <cols>
    <col min="1" max="1" width="1.88671875" style="351" customWidth="1"/>
    <col min="2" max="2" width="5.33203125" style="351" customWidth="1"/>
    <col min="3" max="3" width="6" style="583" customWidth="1"/>
    <col min="4" max="4" width="7.33203125" style="29" customWidth="1"/>
    <col min="5" max="5" width="12.33203125" style="351" customWidth="1"/>
    <col min="6" max="6" width="17.77734375" style="351" customWidth="1"/>
    <col min="7" max="7" width="6.44140625" style="351" hidden="1" customWidth="1"/>
    <col min="8" max="12" width="9" style="579" customWidth="1"/>
    <col min="13" max="13" width="10.109375" style="579" customWidth="1"/>
    <col min="14" max="14" width="9.44140625" style="580" customWidth="1"/>
    <col min="15" max="15" width="9.77734375" style="581" hidden="1" customWidth="1"/>
    <col min="16" max="16" width="9.77734375" style="351" hidden="1" customWidth="1"/>
    <col min="17" max="17" width="7.21875" style="275" customWidth="1"/>
    <col min="18" max="18" width="1.77734375" style="275" customWidth="1"/>
    <col min="19" max="19" width="11.21875" style="582" hidden="1" customWidth="1"/>
    <col min="20" max="20" width="5.88671875" style="275" hidden="1" customWidth="1"/>
    <col min="21" max="21" width="9.6640625" style="582" hidden="1" customWidth="1"/>
    <col min="22" max="22" width="4.6640625" style="275" hidden="1" customWidth="1"/>
    <col min="23" max="23" width="12.21875" style="275" hidden="1" customWidth="1"/>
    <col min="24" max="24" width="3.6640625" style="275" hidden="1" customWidth="1"/>
    <col min="25" max="25" width="17.44140625" style="389" hidden="1" customWidth="1"/>
    <col min="26" max="26" width="2.44140625" style="389" hidden="1" customWidth="1"/>
    <col min="27" max="27" width="1.77734375" style="389" hidden="1" customWidth="1"/>
    <col min="28" max="16384" width="1.77734375" style="351" hidden="1"/>
  </cols>
  <sheetData>
    <row r="1" spans="1:27" ht="7.2" customHeight="1" thickBot="1"/>
    <row r="2" spans="1:27" ht="16.2">
      <c r="B2" s="885" t="str">
        <f>メイン!C6</f>
        <v>CASBEE-戸建（新築）2025年版</v>
      </c>
      <c r="C2" s="886"/>
      <c r="D2" s="887"/>
      <c r="E2" s="888"/>
      <c r="F2" s="889"/>
      <c r="K2" s="2902" t="s">
        <v>95</v>
      </c>
      <c r="L2" s="2902"/>
      <c r="M2" s="883" t="str">
        <f>メイン!C6</f>
        <v>CASBEE-戸建（新築）2025年版</v>
      </c>
      <c r="N2" s="895"/>
    </row>
    <row r="3" spans="1:27" ht="15.75" customHeight="1" thickBot="1">
      <c r="B3" s="890" t="str">
        <f>IF(メイン!$C$10="","",メイン!$C$10)</f>
        <v>あおもりGX</v>
      </c>
      <c r="C3" s="891"/>
      <c r="D3" s="892"/>
      <c r="E3" s="893"/>
      <c r="F3" s="894"/>
      <c r="K3" s="2903" t="s">
        <v>47</v>
      </c>
      <c r="L3" s="2903"/>
      <c r="M3" s="21" t="str">
        <f>メイン!C5</f>
        <v>CASBEE-DH_NC_2025v1.0</v>
      </c>
      <c r="N3" s="896"/>
    </row>
    <row r="4" spans="1:27" ht="7.5" customHeight="1" thickBot="1"/>
    <row r="5" spans="1:27" ht="18" customHeight="1" thickBot="1">
      <c r="A5" s="40"/>
      <c r="B5" s="87" t="s">
        <v>53</v>
      </c>
      <c r="C5" s="169"/>
      <c r="D5" s="170"/>
      <c r="E5" s="2915" t="str">
        <f>IF(メイン!E32=0,"",メイン!E32)</f>
        <v/>
      </c>
      <c r="F5" s="2916"/>
      <c r="G5" s="390"/>
      <c r="H5" s="149"/>
      <c r="I5" s="149"/>
      <c r="J5" s="149"/>
      <c r="K5" s="149"/>
      <c r="L5" s="149"/>
      <c r="M5" s="149"/>
      <c r="N5" s="149"/>
      <c r="O5" s="149"/>
      <c r="P5" s="149"/>
      <c r="Q5" s="150"/>
      <c r="R5" s="422"/>
      <c r="S5" s="391"/>
      <c r="T5" s="226"/>
      <c r="U5" s="391"/>
      <c r="V5" s="226"/>
      <c r="W5" s="226"/>
      <c r="X5" s="422"/>
      <c r="Y5" s="294" t="s">
        <v>424</v>
      </c>
      <c r="AA5" s="294" t="s">
        <v>353</v>
      </c>
    </row>
    <row r="6" spans="1:27" ht="13.2" hidden="1">
      <c r="A6" s="40"/>
      <c r="B6" s="218"/>
      <c r="C6" s="585"/>
      <c r="D6" s="586"/>
      <c r="E6" s="587"/>
      <c r="F6" s="588"/>
      <c r="G6" s="589"/>
      <c r="H6" s="590"/>
      <c r="I6" s="591"/>
      <c r="J6" s="591"/>
      <c r="K6" s="591"/>
      <c r="L6" s="591"/>
      <c r="M6" s="524" t="s">
        <v>424</v>
      </c>
      <c r="N6" s="592"/>
      <c r="O6" s="524" t="s">
        <v>353</v>
      </c>
      <c r="P6" s="593"/>
      <c r="Q6" s="594"/>
      <c r="R6" s="422"/>
      <c r="S6" s="392" t="s">
        <v>869</v>
      </c>
      <c r="T6" s="295"/>
      <c r="U6" s="393" t="s">
        <v>99</v>
      </c>
      <c r="V6" s="295"/>
      <c r="W6" s="295"/>
      <c r="X6" s="422"/>
      <c r="Y6" s="394">
        <f>重み!D7</f>
        <v>1</v>
      </c>
      <c r="AA6" s="394">
        <f>重み!E7</f>
        <v>0</v>
      </c>
    </row>
    <row r="7" spans="1:27" ht="26.25" customHeight="1">
      <c r="A7" s="40"/>
      <c r="B7" s="811" t="s">
        <v>853</v>
      </c>
      <c r="C7" s="171"/>
      <c r="D7" s="172"/>
      <c r="E7" s="545"/>
      <c r="F7" s="173"/>
      <c r="G7" s="544" t="s">
        <v>729</v>
      </c>
      <c r="H7" s="810" t="s">
        <v>815</v>
      </c>
      <c r="I7" s="151"/>
      <c r="J7" s="151"/>
      <c r="K7" s="151"/>
      <c r="L7" s="152"/>
      <c r="M7" s="153" t="s">
        <v>343</v>
      </c>
      <c r="N7" s="154" t="s">
        <v>491</v>
      </c>
      <c r="O7" s="155" t="s">
        <v>343</v>
      </c>
      <c r="P7" s="156" t="s">
        <v>491</v>
      </c>
      <c r="Q7" s="985" t="s">
        <v>54</v>
      </c>
      <c r="R7" s="422"/>
      <c r="S7" s="395" t="s">
        <v>344</v>
      </c>
      <c r="T7" s="154" t="s">
        <v>491</v>
      </c>
      <c r="U7" s="395" t="s">
        <v>344</v>
      </c>
      <c r="V7" s="154" t="s">
        <v>491</v>
      </c>
      <c r="W7" s="302" t="s">
        <v>360</v>
      </c>
      <c r="X7" s="422"/>
      <c r="Y7" s="394" t="s">
        <v>335</v>
      </c>
      <c r="AA7" s="394" t="s">
        <v>335</v>
      </c>
    </row>
    <row r="8" spans="1:27" ht="18" customHeight="1" thickBot="1">
      <c r="A8" s="40"/>
      <c r="B8" s="174" t="s">
        <v>473</v>
      </c>
      <c r="C8" s="175"/>
      <c r="D8" s="546"/>
      <c r="E8" s="547"/>
      <c r="F8" s="563"/>
      <c r="G8" s="563"/>
      <c r="H8" s="157"/>
      <c r="I8" s="158"/>
      <c r="J8" s="158"/>
      <c r="K8" s="158"/>
      <c r="L8" s="159"/>
      <c r="M8" s="160"/>
      <c r="N8" s="571"/>
      <c r="O8" s="161"/>
      <c r="P8" s="162"/>
      <c r="Q8" s="900">
        <f>ROUNDDOWN(W8,1)</f>
        <v>4.2</v>
      </c>
      <c r="R8" s="422"/>
      <c r="S8" s="407"/>
      <c r="T8" s="530"/>
      <c r="U8" s="396"/>
      <c r="V8" s="299"/>
      <c r="W8" s="421">
        <f>T9*W9+T34*W34+T60*W60</f>
        <v>4.2097499999999997</v>
      </c>
      <c r="X8" s="422"/>
      <c r="Y8" s="394">
        <f>重み!M8</f>
        <v>0</v>
      </c>
      <c r="AA8" s="394">
        <f>重み!N8</f>
        <v>0</v>
      </c>
    </row>
    <row r="9" spans="1:27" ht="16.2" thickBot="1">
      <c r="A9" s="40"/>
      <c r="B9" s="176" t="s">
        <v>703</v>
      </c>
      <c r="C9" s="177" t="s">
        <v>818</v>
      </c>
      <c r="D9" s="548"/>
      <c r="E9" s="548"/>
      <c r="F9" s="178"/>
      <c r="G9" s="178"/>
      <c r="H9" s="163"/>
      <c r="I9" s="164"/>
      <c r="J9" s="164"/>
      <c r="K9" s="164"/>
      <c r="L9" s="165"/>
      <c r="M9" s="166"/>
      <c r="N9" s="167">
        <f>T9</f>
        <v>0.45</v>
      </c>
      <c r="O9" s="166"/>
      <c r="P9" s="167">
        <f t="shared" ref="P9:P69" si="0">V9</f>
        <v>0</v>
      </c>
      <c r="Q9" s="168">
        <f>ROUNDDOWN(W9,1)</f>
        <v>4.5999999999999996</v>
      </c>
      <c r="R9" s="422"/>
      <c r="S9" s="396"/>
      <c r="T9" s="531">
        <f>重み!D9</f>
        <v>0.45</v>
      </c>
      <c r="U9" s="396"/>
      <c r="V9" s="300">
        <f>重み!E9</f>
        <v>0</v>
      </c>
      <c r="W9" s="421">
        <f>W10*T10+W20*T20+W25*T25+W28*T28</f>
        <v>4.5999999999999996</v>
      </c>
      <c r="X9" s="422"/>
      <c r="Y9" s="394">
        <f>重み!M9</f>
        <v>0.45</v>
      </c>
      <c r="AA9" s="394">
        <f>重み!N9</f>
        <v>0</v>
      </c>
    </row>
    <row r="10" spans="1:27" ht="13.2">
      <c r="A10" s="40"/>
      <c r="B10" s="179">
        <v>1</v>
      </c>
      <c r="C10" s="180" t="s">
        <v>500</v>
      </c>
      <c r="D10" s="549"/>
      <c r="E10" s="103"/>
      <c r="F10" s="182"/>
      <c r="G10" s="182"/>
      <c r="H10" s="992"/>
      <c r="I10" s="993"/>
      <c r="J10" s="993"/>
      <c r="K10" s="993"/>
      <c r="L10" s="994"/>
      <c r="M10" s="257">
        <f>ROUNDDOWN(S10,1)</f>
        <v>4.5999999999999996</v>
      </c>
      <c r="N10" s="228">
        <f t="shared" ref="N10:N37" si="1">T10</f>
        <v>0.5</v>
      </c>
      <c r="O10" s="257">
        <f>ROUNDDOWN(U10,1)</f>
        <v>0</v>
      </c>
      <c r="P10" s="228">
        <f t="shared" si="0"/>
        <v>0</v>
      </c>
      <c r="Q10" s="229">
        <f>ROUNDDOWN(W10,1)</f>
        <v>4.5999999999999996</v>
      </c>
      <c r="R10" s="422"/>
      <c r="S10" s="298">
        <f>S11*T11+S14*T14+S17*T17</f>
        <v>4.6500000000000004</v>
      </c>
      <c r="T10" s="532">
        <f>重み!D10</f>
        <v>0.5</v>
      </c>
      <c r="U10" s="396"/>
      <c r="V10" s="418">
        <f>重み!E10</f>
        <v>0</v>
      </c>
      <c r="W10" s="421">
        <f>IF(U10=0,S10,IF(S10=0,U10,S10*Y$6+U10*AA$6))</f>
        <v>4.6500000000000004</v>
      </c>
      <c r="X10" s="422"/>
      <c r="Y10" s="394">
        <f>重み!M10</f>
        <v>0.5</v>
      </c>
      <c r="AA10" s="394">
        <f>重み!N10</f>
        <v>0</v>
      </c>
    </row>
    <row r="11" spans="1:27" ht="13.8" thickBot="1">
      <c r="A11" s="40"/>
      <c r="B11" s="183"/>
      <c r="C11" s="184">
        <v>1.1000000000000001</v>
      </c>
      <c r="D11" s="185" t="s">
        <v>501</v>
      </c>
      <c r="E11" s="186"/>
      <c r="F11" s="187"/>
      <c r="G11" s="187"/>
      <c r="H11" s="995"/>
      <c r="I11" s="996"/>
      <c r="J11" s="996"/>
      <c r="K11" s="996"/>
      <c r="L11" s="997"/>
      <c r="M11" s="230">
        <f t="shared" ref="M11:M54" si="2">ROUNDDOWN(S11,1)</f>
        <v>4.8</v>
      </c>
      <c r="N11" s="249">
        <f t="shared" si="1"/>
        <v>0.5</v>
      </c>
      <c r="O11" s="230">
        <f t="shared" ref="O11:O40" si="3">ROUNDDOWN(U11,1)</f>
        <v>0</v>
      </c>
      <c r="P11" s="249">
        <f t="shared" si="0"/>
        <v>0</v>
      </c>
      <c r="Q11" s="231"/>
      <c r="R11" s="422"/>
      <c r="S11" s="298">
        <f>SUMPRODUCT(S12:S13,T12:T13)</f>
        <v>4.8</v>
      </c>
      <c r="T11" s="532">
        <f>重み!D11</f>
        <v>0.5</v>
      </c>
      <c r="U11" s="396"/>
      <c r="V11" s="301">
        <f>重み!E11</f>
        <v>0</v>
      </c>
      <c r="W11" s="297"/>
      <c r="X11" s="422"/>
      <c r="Y11" s="394">
        <f>重み!M11</f>
        <v>0.5</v>
      </c>
      <c r="AA11" s="394">
        <f>重み!N11</f>
        <v>0</v>
      </c>
    </row>
    <row r="12" spans="1:27" ht="13.2">
      <c r="A12" s="40"/>
      <c r="B12" s="183"/>
      <c r="C12" s="188"/>
      <c r="D12" s="550">
        <v>1</v>
      </c>
      <c r="E12" s="189" t="s">
        <v>933</v>
      </c>
      <c r="F12" s="190"/>
      <c r="G12" s="190"/>
      <c r="H12" s="2904">
        <f>採点Q1!H15</f>
        <v>0</v>
      </c>
      <c r="I12" s="2905"/>
      <c r="J12" s="2905"/>
      <c r="K12" s="2905"/>
      <c r="L12" s="2917"/>
      <c r="M12" s="232">
        <f t="shared" si="2"/>
        <v>5</v>
      </c>
      <c r="N12" s="244">
        <f t="shared" si="1"/>
        <v>0.8</v>
      </c>
      <c r="O12" s="232">
        <f t="shared" si="3"/>
        <v>0</v>
      </c>
      <c r="P12" s="244">
        <f t="shared" si="0"/>
        <v>0</v>
      </c>
      <c r="Q12" s="229"/>
      <c r="R12" s="422"/>
      <c r="S12" s="397">
        <f>IF(採点Q1!D8="対象外",0,採点Q1!D8)</f>
        <v>5</v>
      </c>
      <c r="T12" s="532">
        <f>重み!D12</f>
        <v>0.8</v>
      </c>
      <c r="U12" s="396"/>
      <c r="V12" s="301">
        <f>重み!E12</f>
        <v>0</v>
      </c>
      <c r="W12" s="297"/>
      <c r="X12" s="422"/>
      <c r="Y12" s="394">
        <f>重み!M12</f>
        <v>0.8</v>
      </c>
      <c r="AA12" s="394">
        <f>重み!N12</f>
        <v>0</v>
      </c>
    </row>
    <row r="13" spans="1:27" ht="13.8" thickBot="1">
      <c r="A13" s="40"/>
      <c r="B13" s="183"/>
      <c r="C13" s="191"/>
      <c r="D13" s="550">
        <v>2</v>
      </c>
      <c r="E13" s="192" t="s">
        <v>502</v>
      </c>
      <c r="F13" s="187"/>
      <c r="G13" s="187"/>
      <c r="H13" s="2904">
        <f>採点Q1!H25</f>
        <v>0</v>
      </c>
      <c r="I13" s="2905"/>
      <c r="J13" s="2905"/>
      <c r="K13" s="2905"/>
      <c r="L13" s="2917"/>
      <c r="M13" s="233">
        <f t="shared" si="2"/>
        <v>4</v>
      </c>
      <c r="N13" s="244">
        <f t="shared" si="1"/>
        <v>0.2</v>
      </c>
      <c r="O13" s="233">
        <f t="shared" si="3"/>
        <v>0</v>
      </c>
      <c r="P13" s="244">
        <f t="shared" si="0"/>
        <v>0</v>
      </c>
      <c r="Q13" s="229"/>
      <c r="R13" s="422"/>
      <c r="S13" s="397">
        <f>IF(採点Q1!D18="対象外",0,採点Q1!D18)</f>
        <v>4</v>
      </c>
      <c r="T13" s="532">
        <f>重み!D13</f>
        <v>0.2</v>
      </c>
      <c r="U13" s="396"/>
      <c r="V13" s="301">
        <f>重み!E13</f>
        <v>0</v>
      </c>
      <c r="W13" s="297"/>
      <c r="X13" s="422"/>
      <c r="Y13" s="394">
        <f>重み!M13</f>
        <v>0.2</v>
      </c>
      <c r="AA13" s="394">
        <f>重み!N13</f>
        <v>0</v>
      </c>
    </row>
    <row r="14" spans="1:27" ht="13.8" thickBot="1">
      <c r="A14" s="40"/>
      <c r="B14" s="183"/>
      <c r="C14" s="193">
        <v>1.2</v>
      </c>
      <c r="D14" s="103" t="s">
        <v>503</v>
      </c>
      <c r="E14" s="103"/>
      <c r="F14" s="194"/>
      <c r="G14" s="194"/>
      <c r="H14" s="998"/>
      <c r="I14" s="999"/>
      <c r="J14" s="999"/>
      <c r="K14" s="999"/>
      <c r="L14" s="1000"/>
      <c r="M14" s="230">
        <f t="shared" si="2"/>
        <v>4</v>
      </c>
      <c r="N14" s="244">
        <f>T14</f>
        <v>0.25</v>
      </c>
      <c r="O14" s="230">
        <f t="shared" si="3"/>
        <v>0</v>
      </c>
      <c r="P14" s="244">
        <f t="shared" si="0"/>
        <v>0</v>
      </c>
      <c r="Q14" s="229"/>
      <c r="R14" s="422"/>
      <c r="S14" s="298">
        <f>SUMPRODUCT(S15:S16,T15:T16)</f>
        <v>4</v>
      </c>
      <c r="T14" s="532">
        <f>重み!D14</f>
        <v>0.25</v>
      </c>
      <c r="U14" s="396"/>
      <c r="V14" s="301">
        <f>重み!E14</f>
        <v>0</v>
      </c>
      <c r="W14" s="297"/>
      <c r="X14" s="422"/>
      <c r="Y14" s="394">
        <f>重み!M14</f>
        <v>0.25</v>
      </c>
      <c r="AA14" s="394">
        <f>重み!N14</f>
        <v>0</v>
      </c>
    </row>
    <row r="15" spans="1:27" ht="13.2">
      <c r="A15" s="40"/>
      <c r="B15" s="183"/>
      <c r="C15" s="193"/>
      <c r="D15" s="550">
        <v>1</v>
      </c>
      <c r="E15" s="192" t="s">
        <v>504</v>
      </c>
      <c r="F15" s="187"/>
      <c r="G15" s="187"/>
      <c r="H15" s="2904">
        <f>採点Q1!H36</f>
        <v>0</v>
      </c>
      <c r="I15" s="2905"/>
      <c r="J15" s="2905"/>
      <c r="K15" s="2905"/>
      <c r="L15" s="2905"/>
      <c r="M15" s="232">
        <f t="shared" si="2"/>
        <v>3</v>
      </c>
      <c r="N15" s="244">
        <f t="shared" si="1"/>
        <v>0.5</v>
      </c>
      <c r="O15" s="232">
        <f t="shared" si="3"/>
        <v>0</v>
      </c>
      <c r="P15" s="244">
        <f t="shared" si="0"/>
        <v>0</v>
      </c>
      <c r="Q15" s="229"/>
      <c r="R15" s="422"/>
      <c r="S15" s="397">
        <f>IF(採点Q1!D29="対象外",0,採点Q1!D29)</f>
        <v>3</v>
      </c>
      <c r="T15" s="532">
        <f>重み!D15</f>
        <v>0.5</v>
      </c>
      <c r="U15" s="396"/>
      <c r="V15" s="301">
        <f>重み!E15</f>
        <v>0</v>
      </c>
      <c r="W15" s="297"/>
      <c r="X15" s="422"/>
      <c r="Y15" s="394">
        <f>重み!M15</f>
        <v>0.5</v>
      </c>
      <c r="AA15" s="394">
        <f>重み!N15</f>
        <v>0</v>
      </c>
    </row>
    <row r="16" spans="1:27" ht="13.8" thickBot="1">
      <c r="A16" s="40"/>
      <c r="B16" s="183"/>
      <c r="C16" s="188"/>
      <c r="D16" s="550">
        <v>2</v>
      </c>
      <c r="E16" s="192" t="s">
        <v>505</v>
      </c>
      <c r="F16" s="187"/>
      <c r="G16" s="187"/>
      <c r="H16" s="2904">
        <f>採点Q1!H46</f>
        <v>0</v>
      </c>
      <c r="I16" s="2905"/>
      <c r="J16" s="2905"/>
      <c r="K16" s="2905"/>
      <c r="L16" s="2905"/>
      <c r="M16" s="233">
        <f t="shared" si="2"/>
        <v>5</v>
      </c>
      <c r="N16" s="244">
        <f t="shared" si="1"/>
        <v>0.5</v>
      </c>
      <c r="O16" s="233">
        <f t="shared" si="3"/>
        <v>0</v>
      </c>
      <c r="P16" s="244">
        <f t="shared" si="0"/>
        <v>0</v>
      </c>
      <c r="Q16" s="229"/>
      <c r="R16" s="422"/>
      <c r="S16" s="397">
        <f>IF(採点Q1!D39="対象外",0,採点Q1!D39)</f>
        <v>5</v>
      </c>
      <c r="T16" s="532">
        <f>重み!D16</f>
        <v>0.5</v>
      </c>
      <c r="U16" s="396"/>
      <c r="V16" s="301">
        <f>重み!E16</f>
        <v>0</v>
      </c>
      <c r="W16" s="297"/>
      <c r="X16" s="422"/>
      <c r="Y16" s="394">
        <f>重み!M16</f>
        <v>0.5</v>
      </c>
      <c r="AA16" s="394">
        <f>重み!N16</f>
        <v>0</v>
      </c>
    </row>
    <row r="17" spans="1:27" ht="13.8" thickBot="1">
      <c r="A17" s="40"/>
      <c r="B17" s="183"/>
      <c r="C17" s="184">
        <v>1.3</v>
      </c>
      <c r="D17" s="186" t="s">
        <v>506</v>
      </c>
      <c r="E17" s="186"/>
      <c r="F17" s="187"/>
      <c r="G17" s="187"/>
      <c r="H17" s="998"/>
      <c r="I17" s="999"/>
      <c r="J17" s="999"/>
      <c r="K17" s="999"/>
      <c r="L17" s="1000"/>
      <c r="M17" s="230">
        <f t="shared" si="2"/>
        <v>5</v>
      </c>
      <c r="N17" s="244">
        <f t="shared" si="1"/>
        <v>0.25</v>
      </c>
      <c r="O17" s="230">
        <f t="shared" si="3"/>
        <v>0</v>
      </c>
      <c r="P17" s="244">
        <f t="shared" si="0"/>
        <v>0</v>
      </c>
      <c r="Q17" s="229"/>
      <c r="R17" s="422"/>
      <c r="S17" s="298">
        <f>SUMPRODUCT(S18,T18)</f>
        <v>5</v>
      </c>
      <c r="T17" s="532">
        <f>重み!D17</f>
        <v>0.25</v>
      </c>
      <c r="U17" s="396"/>
      <c r="V17" s="301">
        <f>重み!E17</f>
        <v>0</v>
      </c>
      <c r="W17" s="299"/>
      <c r="X17" s="422"/>
      <c r="Y17" s="394">
        <f>重み!M17</f>
        <v>0.25</v>
      </c>
      <c r="AA17" s="394">
        <f>重み!N17</f>
        <v>0</v>
      </c>
    </row>
    <row r="18" spans="1:27" ht="13.8" thickBot="1">
      <c r="A18" s="40"/>
      <c r="B18" s="540"/>
      <c r="C18" s="541"/>
      <c r="D18" s="550">
        <v>1</v>
      </c>
      <c r="E18" s="192" t="s">
        <v>507</v>
      </c>
      <c r="F18" s="187"/>
      <c r="G18" s="187"/>
      <c r="H18" s="2904">
        <f>採点Q1!H57</f>
        <v>0</v>
      </c>
      <c r="I18" s="2905"/>
      <c r="J18" s="2905"/>
      <c r="K18" s="2905"/>
      <c r="L18" s="2905"/>
      <c r="M18" s="812">
        <f t="shared" si="2"/>
        <v>5</v>
      </c>
      <c r="N18" s="244">
        <f t="shared" si="1"/>
        <v>1</v>
      </c>
      <c r="O18" s="232">
        <f t="shared" si="3"/>
        <v>0</v>
      </c>
      <c r="P18" s="244">
        <f t="shared" si="0"/>
        <v>0</v>
      </c>
      <c r="Q18" s="229"/>
      <c r="R18" s="422"/>
      <c r="S18" s="397">
        <f>IF(採点Q1!D50="対象外",0,採点Q1!D50)</f>
        <v>5</v>
      </c>
      <c r="T18" s="532">
        <f>重み!D18</f>
        <v>1</v>
      </c>
      <c r="U18" s="396"/>
      <c r="V18" s="301">
        <f>重み!E18</f>
        <v>0</v>
      </c>
      <c r="W18" s="299"/>
      <c r="X18" s="422"/>
      <c r="Y18" s="394">
        <f>重み!M18</f>
        <v>1</v>
      </c>
      <c r="AA18" s="394">
        <f>重み!N18</f>
        <v>0</v>
      </c>
    </row>
    <row r="19" spans="1:27" ht="13.8" hidden="1" thickBot="1">
      <c r="A19" s="40"/>
      <c r="B19" s="536"/>
      <c r="C19" s="537"/>
      <c r="D19" s="550">
        <v>2</v>
      </c>
      <c r="E19" s="192"/>
      <c r="F19" s="187"/>
      <c r="G19" s="187"/>
      <c r="H19" s="2904"/>
      <c r="I19" s="2905"/>
      <c r="J19" s="2905"/>
      <c r="K19" s="2905"/>
      <c r="L19" s="2905"/>
      <c r="M19" s="233">
        <f t="shared" si="2"/>
        <v>0</v>
      </c>
      <c r="N19" s="244">
        <f>T19</f>
        <v>0</v>
      </c>
      <c r="O19" s="233">
        <f t="shared" si="3"/>
        <v>0</v>
      </c>
      <c r="P19" s="244">
        <f t="shared" si="0"/>
        <v>0</v>
      </c>
      <c r="Q19" s="229">
        <f>ROUNDDOWN(W19,1)</f>
        <v>0</v>
      </c>
      <c r="R19" s="422"/>
      <c r="S19" s="397"/>
      <c r="T19" s="532">
        <f>重み!D19</f>
        <v>0</v>
      </c>
      <c r="U19" s="396"/>
      <c r="V19" s="301">
        <f>重み!E19</f>
        <v>0</v>
      </c>
      <c r="W19" s="299"/>
      <c r="X19" s="422"/>
      <c r="Y19" s="394">
        <f>重み!M19</f>
        <v>0</v>
      </c>
      <c r="AA19" s="394">
        <f>重み!N19</f>
        <v>0</v>
      </c>
    </row>
    <row r="20" spans="1:27" ht="13.8" thickBot="1">
      <c r="A20" s="40"/>
      <c r="B20" s="208">
        <v>2</v>
      </c>
      <c r="C20" s="196" t="s">
        <v>508</v>
      </c>
      <c r="D20" s="549"/>
      <c r="E20" s="551"/>
      <c r="F20" s="182"/>
      <c r="G20" s="182"/>
      <c r="H20" s="1001"/>
      <c r="I20" s="1002"/>
      <c r="J20" s="1002"/>
      <c r="K20" s="1002"/>
      <c r="L20" s="1003"/>
      <c r="M20" s="230">
        <f t="shared" si="2"/>
        <v>4.2</v>
      </c>
      <c r="N20" s="237">
        <f t="shared" si="1"/>
        <v>0.3</v>
      </c>
      <c r="O20" s="230">
        <f t="shared" si="3"/>
        <v>0</v>
      </c>
      <c r="P20" s="237">
        <f t="shared" si="0"/>
        <v>0</v>
      </c>
      <c r="Q20" s="238">
        <f>ROUNDDOWN(W20,1)</f>
        <v>4.2</v>
      </c>
      <c r="R20" s="422"/>
      <c r="S20" s="298">
        <f>S21*T21+S22*T22+S23*T23+S24*T24</f>
        <v>4.25</v>
      </c>
      <c r="T20" s="532">
        <f>重み!D20</f>
        <v>0.3</v>
      </c>
      <c r="U20" s="396"/>
      <c r="V20" s="301">
        <f>重み!E20</f>
        <v>0</v>
      </c>
      <c r="W20" s="299">
        <f>IF(U20=0,S20,IF(S20=0,U20,S20*Y$6+U20*AA$6))</f>
        <v>4.25</v>
      </c>
      <c r="X20" s="422"/>
      <c r="Y20" s="394">
        <f>重み!M20</f>
        <v>0.3</v>
      </c>
      <c r="AA20" s="394">
        <f>重み!N20</f>
        <v>0</v>
      </c>
    </row>
    <row r="21" spans="1:27" ht="13.2">
      <c r="A21" s="40"/>
      <c r="B21" s="183"/>
      <c r="C21" s="184">
        <v>2.1</v>
      </c>
      <c r="D21" s="197" t="s">
        <v>509</v>
      </c>
      <c r="E21" s="552"/>
      <c r="F21" s="198"/>
      <c r="G21" s="198"/>
      <c r="H21" s="2904">
        <f>採点Q1!H69</f>
        <v>0</v>
      </c>
      <c r="I21" s="2905"/>
      <c r="J21" s="2905"/>
      <c r="K21" s="2905"/>
      <c r="L21" s="2905"/>
      <c r="M21" s="573">
        <f t="shared" si="2"/>
        <v>3</v>
      </c>
      <c r="N21" s="249">
        <f t="shared" si="1"/>
        <v>0.25</v>
      </c>
      <c r="O21" s="573">
        <f t="shared" si="3"/>
        <v>0</v>
      </c>
      <c r="P21" s="249">
        <f t="shared" si="0"/>
        <v>0</v>
      </c>
      <c r="Q21" s="231"/>
      <c r="R21" s="422"/>
      <c r="S21" s="397">
        <f>IF(採点Q1!D62="対象外",0,採点Q1!D62)</f>
        <v>3</v>
      </c>
      <c r="T21" s="532">
        <f>重み!D21</f>
        <v>0.25</v>
      </c>
      <c r="U21" s="396"/>
      <c r="V21" s="301">
        <f>重み!E21</f>
        <v>0</v>
      </c>
      <c r="W21" s="299"/>
      <c r="X21" s="422"/>
      <c r="Y21" s="394">
        <f>重み!M21</f>
        <v>0.25</v>
      </c>
      <c r="AA21" s="394">
        <f>重み!N21</f>
        <v>0</v>
      </c>
    </row>
    <row r="22" spans="1:27" ht="13.2">
      <c r="A22" s="40"/>
      <c r="B22" s="183"/>
      <c r="C22" s="195">
        <v>2.2000000000000002</v>
      </c>
      <c r="D22" s="186" t="s">
        <v>736</v>
      </c>
      <c r="E22" s="553"/>
      <c r="F22" s="199"/>
      <c r="G22" s="199"/>
      <c r="H22" s="2904">
        <f>採点Q1!H80</f>
        <v>0</v>
      </c>
      <c r="I22" s="2905"/>
      <c r="J22" s="2905"/>
      <c r="K22" s="2905"/>
      <c r="L22" s="2905"/>
      <c r="M22" s="250">
        <f t="shared" si="2"/>
        <v>5</v>
      </c>
      <c r="N22" s="244">
        <f t="shared" si="1"/>
        <v>0.25</v>
      </c>
      <c r="O22" s="250">
        <f t="shared" si="3"/>
        <v>0</v>
      </c>
      <c r="P22" s="244">
        <f t="shared" si="0"/>
        <v>0</v>
      </c>
      <c r="Q22" s="229"/>
      <c r="R22" s="422"/>
      <c r="S22" s="397">
        <f>IF(採点Q1!D73="対象外",0,採点Q1!D73)</f>
        <v>5</v>
      </c>
      <c r="T22" s="532">
        <f>重み!D22</f>
        <v>0.25</v>
      </c>
      <c r="U22" s="396"/>
      <c r="V22" s="301">
        <f>重み!E22</f>
        <v>0</v>
      </c>
      <c r="W22" s="299"/>
      <c r="X22" s="422"/>
      <c r="Y22" s="394">
        <f>重み!M22</f>
        <v>0.25</v>
      </c>
      <c r="AA22" s="394">
        <f>重み!N22</f>
        <v>0</v>
      </c>
    </row>
    <row r="23" spans="1:27" ht="13.8" thickBot="1">
      <c r="A23" s="40"/>
      <c r="B23" s="183"/>
      <c r="C23" s="195">
        <v>2.2999999999999998</v>
      </c>
      <c r="D23" s="186" t="s">
        <v>1788</v>
      </c>
      <c r="E23" s="553"/>
      <c r="F23" s="199"/>
      <c r="G23" s="199"/>
      <c r="H23" s="2904">
        <f>採点Q1!H104</f>
        <v>0</v>
      </c>
      <c r="I23" s="2905"/>
      <c r="J23" s="2905"/>
      <c r="K23" s="2905"/>
      <c r="L23" s="2905"/>
      <c r="M23" s="250">
        <f t="shared" si="2"/>
        <v>4</v>
      </c>
      <c r="N23" s="244">
        <f t="shared" si="1"/>
        <v>0.25</v>
      </c>
      <c r="O23" s="235">
        <f t="shared" si="3"/>
        <v>0</v>
      </c>
      <c r="P23" s="244">
        <f t="shared" si="0"/>
        <v>0</v>
      </c>
      <c r="Q23" s="229"/>
      <c r="R23" s="422"/>
      <c r="S23" s="397">
        <f>IF(採点Q1!D84="対象外",0,採点Q1!D84)</f>
        <v>4</v>
      </c>
      <c r="T23" s="532">
        <f>重み!D23</f>
        <v>0.25</v>
      </c>
      <c r="U23" s="396"/>
      <c r="V23" s="301">
        <f>重み!E23</f>
        <v>0</v>
      </c>
      <c r="W23" s="299"/>
      <c r="X23" s="422"/>
      <c r="Y23" s="394">
        <f>重み!M23</f>
        <v>0.25</v>
      </c>
      <c r="AA23" s="394">
        <f>重み!N23</f>
        <v>0</v>
      </c>
    </row>
    <row r="24" spans="1:27" ht="13.8" thickBot="1">
      <c r="A24" s="40"/>
      <c r="B24" s="536"/>
      <c r="C24" s="193">
        <v>2.4</v>
      </c>
      <c r="D24" s="186" t="s">
        <v>1682</v>
      </c>
      <c r="E24" s="553"/>
      <c r="F24" s="199"/>
      <c r="G24" s="199"/>
      <c r="H24" s="2904">
        <f>採点Q1!H138</f>
        <v>0</v>
      </c>
      <c r="I24" s="2905"/>
      <c r="J24" s="2905"/>
      <c r="K24" s="2905"/>
      <c r="L24" s="2905"/>
      <c r="M24" s="235">
        <f>ROUNDDOWN(S24,1)</f>
        <v>5</v>
      </c>
      <c r="N24" s="244">
        <f>T24</f>
        <v>0.25</v>
      </c>
      <c r="O24" s="235">
        <f>ROUNDDOWN(U24,1)</f>
        <v>0</v>
      </c>
      <c r="P24" s="244">
        <f>V24</f>
        <v>0</v>
      </c>
      <c r="Q24" s="229"/>
      <c r="R24" s="422"/>
      <c r="S24" s="397">
        <f>IF(採点Q1!D108="対象外",0,採点Q1!D108)</f>
        <v>5</v>
      </c>
      <c r="T24" s="532">
        <f>重み!D24</f>
        <v>0.25</v>
      </c>
      <c r="U24" s="396"/>
      <c r="V24" s="301">
        <f>重み!E24</f>
        <v>0</v>
      </c>
      <c r="W24" s="299"/>
      <c r="X24" s="422"/>
      <c r="Y24" s="394">
        <f>重み!M24</f>
        <v>0.25</v>
      </c>
      <c r="AA24" s="394">
        <f>重み!N24</f>
        <v>0</v>
      </c>
    </row>
    <row r="25" spans="1:27" ht="13.8" thickBot="1">
      <c r="A25" s="40"/>
      <c r="B25" s="179">
        <v>3</v>
      </c>
      <c r="C25" s="196" t="s">
        <v>761</v>
      </c>
      <c r="D25" s="549"/>
      <c r="E25" s="551"/>
      <c r="F25" s="182"/>
      <c r="G25" s="182"/>
      <c r="H25" s="1001"/>
      <c r="I25" s="1002"/>
      <c r="J25" s="1002"/>
      <c r="K25" s="1002"/>
      <c r="L25" s="1003"/>
      <c r="M25" s="230">
        <f t="shared" si="2"/>
        <v>5</v>
      </c>
      <c r="N25" s="237">
        <f t="shared" si="1"/>
        <v>0.1</v>
      </c>
      <c r="O25" s="230">
        <f t="shared" si="3"/>
        <v>0</v>
      </c>
      <c r="P25" s="237">
        <f t="shared" si="0"/>
        <v>0</v>
      </c>
      <c r="Q25" s="238">
        <f>ROUNDDOWN(W25,1)</f>
        <v>5</v>
      </c>
      <c r="R25" s="422"/>
      <c r="S25" s="298">
        <f>S26*T26+S27*T27</f>
        <v>5</v>
      </c>
      <c r="T25" s="532">
        <f>重み!D25</f>
        <v>0.1</v>
      </c>
      <c r="U25" s="396"/>
      <c r="V25" s="301">
        <f>重み!E25</f>
        <v>0</v>
      </c>
      <c r="W25" s="299">
        <f>IF(U25=0,S25,IF(S25=0,U25,S25*Y$6+U25*AA$6))</f>
        <v>5</v>
      </c>
      <c r="X25" s="422"/>
      <c r="Y25" s="394">
        <f>重み!M25</f>
        <v>0.1</v>
      </c>
      <c r="AA25" s="394">
        <f>重み!N25</f>
        <v>0</v>
      </c>
    </row>
    <row r="26" spans="1:27" ht="13.2">
      <c r="A26" s="40"/>
      <c r="B26" s="183"/>
      <c r="C26" s="195">
        <v>3.1</v>
      </c>
      <c r="D26" s="197" t="s">
        <v>512</v>
      </c>
      <c r="E26" s="552"/>
      <c r="F26" s="198"/>
      <c r="G26" s="198"/>
      <c r="H26" s="2906">
        <f>採点Q1!H154</f>
        <v>0</v>
      </c>
      <c r="I26" s="2907"/>
      <c r="J26" s="2907"/>
      <c r="K26" s="2907"/>
      <c r="L26" s="2907"/>
      <c r="M26" s="573">
        <f t="shared" si="2"/>
        <v>5</v>
      </c>
      <c r="N26" s="239">
        <f t="shared" si="1"/>
        <v>0.5</v>
      </c>
      <c r="O26" s="573">
        <f t="shared" si="3"/>
        <v>0</v>
      </c>
      <c r="P26" s="239">
        <f t="shared" si="0"/>
        <v>0</v>
      </c>
      <c r="Q26" s="231"/>
      <c r="R26" s="422"/>
      <c r="S26" s="397">
        <f>IF(採点Q1!D142="対象外",0,採点Q1!D142)</f>
        <v>5</v>
      </c>
      <c r="T26" s="532">
        <f>重み!D26</f>
        <v>0.5</v>
      </c>
      <c r="U26" s="396"/>
      <c r="V26" s="301">
        <f>重み!E26</f>
        <v>0</v>
      </c>
      <c r="W26" s="299"/>
      <c r="X26" s="422"/>
      <c r="Y26" s="394">
        <f>重み!M26</f>
        <v>0.5</v>
      </c>
      <c r="AA26" s="394">
        <f>重み!N26</f>
        <v>0</v>
      </c>
    </row>
    <row r="27" spans="1:27" ht="13.8" thickBot="1">
      <c r="A27" s="40"/>
      <c r="B27" s="539"/>
      <c r="C27" s="195">
        <v>3.2</v>
      </c>
      <c r="D27" s="186" t="s">
        <v>1707</v>
      </c>
      <c r="E27" s="553"/>
      <c r="F27" s="199"/>
      <c r="G27" s="199"/>
      <c r="H27" s="2913">
        <f>採点Q1!H171</f>
        <v>0</v>
      </c>
      <c r="I27" s="2914"/>
      <c r="J27" s="2914"/>
      <c r="K27" s="2914"/>
      <c r="L27" s="2914"/>
      <c r="M27" s="235">
        <f t="shared" si="2"/>
        <v>5</v>
      </c>
      <c r="N27" s="572">
        <f t="shared" si="1"/>
        <v>0.5</v>
      </c>
      <c r="O27" s="574">
        <f t="shared" si="3"/>
        <v>0</v>
      </c>
      <c r="P27" s="572">
        <f t="shared" si="0"/>
        <v>0</v>
      </c>
      <c r="Q27" s="243"/>
      <c r="R27" s="422"/>
      <c r="S27" s="397">
        <f>IF(採点Q1!D157="対象外",0,採点Q1!D157)</f>
        <v>5</v>
      </c>
      <c r="T27" s="532">
        <f>重み!D27</f>
        <v>0.5</v>
      </c>
      <c r="U27" s="396"/>
      <c r="V27" s="301">
        <f>重み!E27</f>
        <v>0</v>
      </c>
      <c r="W27" s="299"/>
      <c r="X27" s="422"/>
      <c r="Y27" s="394">
        <f>重み!M27</f>
        <v>0.5</v>
      </c>
      <c r="AA27" s="394">
        <f>重み!N27</f>
        <v>0</v>
      </c>
    </row>
    <row r="28" spans="1:27" ht="13.8" thickBot="1">
      <c r="A28" s="40"/>
      <c r="B28" s="208">
        <v>4</v>
      </c>
      <c r="C28" s="196" t="s">
        <v>513</v>
      </c>
      <c r="D28" s="549"/>
      <c r="E28" s="551"/>
      <c r="F28" s="182"/>
      <c r="G28" s="182"/>
      <c r="H28" s="2572">
        <f>採点Q1!H183</f>
        <v>0</v>
      </c>
      <c r="I28" s="2573"/>
      <c r="J28" s="2573"/>
      <c r="K28" s="2573"/>
      <c r="L28" s="2574"/>
      <c r="M28" s="227">
        <f t="shared" si="2"/>
        <v>5</v>
      </c>
      <c r="N28" s="237">
        <f t="shared" si="1"/>
        <v>0.1</v>
      </c>
      <c r="O28" s="230">
        <f t="shared" si="3"/>
        <v>0</v>
      </c>
      <c r="P28" s="237">
        <f t="shared" si="0"/>
        <v>0</v>
      </c>
      <c r="Q28" s="238">
        <f>ROUNDDOWN(W28,1)</f>
        <v>5</v>
      </c>
      <c r="R28" s="422"/>
      <c r="S28" s="2569">
        <f>S29*T29+S30*T30+S31*T31</f>
        <v>5</v>
      </c>
      <c r="T28" s="532">
        <f>重み!D28</f>
        <v>0.1</v>
      </c>
      <c r="U28" s="396"/>
      <c r="V28" s="301">
        <f>重み!E28</f>
        <v>0</v>
      </c>
      <c r="W28" s="299">
        <f>IF(U28=0,S28,IF(S28=0,U28,S28*Y$6+U28*AA$6))</f>
        <v>5</v>
      </c>
      <c r="X28" s="422"/>
      <c r="Y28" s="394">
        <f>重み!M28</f>
        <v>0.1</v>
      </c>
      <c r="AA28" s="394">
        <f>重み!N28</f>
        <v>0</v>
      </c>
    </row>
    <row r="29" spans="1:27" ht="13.2" hidden="1">
      <c r="A29" s="40"/>
      <c r="B29" s="183"/>
      <c r="C29" s="184">
        <v>4.0999999999999996</v>
      </c>
      <c r="D29" s="2510" t="str">
        <f>重み!C29</f>
        <v>静かさ</v>
      </c>
      <c r="E29" s="2461"/>
      <c r="F29" s="198"/>
      <c r="G29" s="198"/>
      <c r="H29" s="2904">
        <f>採点Q1!H184</f>
        <v>0</v>
      </c>
      <c r="I29" s="2905"/>
      <c r="J29" s="2905"/>
      <c r="K29" s="2905"/>
      <c r="L29" s="2905"/>
      <c r="M29" s="573">
        <f t="shared" ref="M29:M33" si="4">ROUNDDOWN(S29,1)</f>
        <v>5</v>
      </c>
      <c r="N29" s="249">
        <f t="shared" ref="N29:N33" si="5">T29</f>
        <v>1</v>
      </c>
      <c r="O29" s="573">
        <f t="shared" ref="O29:O33" si="6">ROUNDDOWN(U29,1)</f>
        <v>0</v>
      </c>
      <c r="P29" s="249">
        <f t="shared" ref="P29:P33" si="7">V29</f>
        <v>0</v>
      </c>
      <c r="Q29" s="231"/>
      <c r="R29" s="422"/>
      <c r="S29" s="397">
        <f>IF(採点Q1!D176="対象外",0,採点Q1!D176)</f>
        <v>5</v>
      </c>
      <c r="T29" s="532">
        <f>重み!D29</f>
        <v>1</v>
      </c>
      <c r="U29" s="396"/>
      <c r="V29" s="301">
        <f>重み!E29</f>
        <v>0</v>
      </c>
      <c r="W29" s="299"/>
      <c r="X29" s="422"/>
      <c r="Y29" s="394">
        <f>重み!M29</f>
        <v>1</v>
      </c>
      <c r="AA29" s="394">
        <f>重み!N29</f>
        <v>0</v>
      </c>
    </row>
    <row r="30" spans="1:27" ht="13.8" hidden="1" thickBot="1">
      <c r="A30" s="40"/>
      <c r="B30" s="183"/>
      <c r="C30" s="195">
        <v>4.2</v>
      </c>
      <c r="D30" s="2511" t="s">
        <v>1852</v>
      </c>
      <c r="E30" s="2462"/>
      <c r="F30" s="199"/>
      <c r="G30" s="199"/>
      <c r="H30" s="2904">
        <f>採点Q1!H195</f>
        <v>0</v>
      </c>
      <c r="I30" s="2905"/>
      <c r="J30" s="2905"/>
      <c r="K30" s="2905"/>
      <c r="L30" s="2905"/>
      <c r="M30" s="235">
        <f t="shared" si="4"/>
        <v>5</v>
      </c>
      <c r="N30" s="244">
        <f t="shared" si="5"/>
        <v>0</v>
      </c>
      <c r="O30" s="250">
        <f t="shared" si="6"/>
        <v>0</v>
      </c>
      <c r="P30" s="244">
        <f t="shared" si="7"/>
        <v>0</v>
      </c>
      <c r="Q30" s="229"/>
      <c r="R30" s="422"/>
      <c r="S30" s="397">
        <f>IF(採点Q1!D188="対象外",0,採点Q1!D188)</f>
        <v>5</v>
      </c>
      <c r="T30" s="532">
        <f>重み!D30</f>
        <v>0</v>
      </c>
      <c r="U30" s="396"/>
      <c r="V30" s="301">
        <f>重み!E30</f>
        <v>0</v>
      </c>
      <c r="W30" s="299"/>
      <c r="X30" s="422"/>
      <c r="Y30" s="394">
        <f>重み!M30</f>
        <v>0</v>
      </c>
      <c r="AA30" s="394">
        <f>重み!N30</f>
        <v>0</v>
      </c>
    </row>
    <row r="31" spans="1:27" ht="13.8" hidden="1" thickBot="1">
      <c r="A31" s="40"/>
      <c r="B31" s="183"/>
      <c r="C31" s="193">
        <v>4.3</v>
      </c>
      <c r="D31" s="2512" t="s">
        <v>1853</v>
      </c>
      <c r="E31" s="2463"/>
      <c r="F31" s="194"/>
      <c r="G31" s="194"/>
      <c r="H31" s="1007"/>
      <c r="I31" s="1008"/>
      <c r="J31" s="1008"/>
      <c r="K31" s="1008"/>
      <c r="L31" s="2571"/>
      <c r="M31" s="227">
        <f t="shared" si="4"/>
        <v>0</v>
      </c>
      <c r="N31" s="244">
        <f t="shared" si="5"/>
        <v>0</v>
      </c>
      <c r="O31" s="230">
        <f t="shared" si="6"/>
        <v>0</v>
      </c>
      <c r="P31" s="244">
        <f t="shared" si="7"/>
        <v>0</v>
      </c>
      <c r="Q31" s="229"/>
      <c r="R31" s="422"/>
      <c r="S31" s="2491">
        <f>SUMPRODUCT(S32:S33,T32:T33)</f>
        <v>0</v>
      </c>
      <c r="T31" s="532">
        <f>重み!D31</f>
        <v>0</v>
      </c>
      <c r="U31" s="396"/>
      <c r="V31" s="301">
        <f>重み!E31</f>
        <v>0</v>
      </c>
      <c r="W31" s="299"/>
      <c r="X31" s="422"/>
      <c r="Y31" s="394">
        <f>重み!M31</f>
        <v>0</v>
      </c>
      <c r="AA31" s="394">
        <f>重み!N31</f>
        <v>0</v>
      </c>
    </row>
    <row r="32" spans="1:27" ht="13.2" hidden="1">
      <c r="A32" s="40"/>
      <c r="B32" s="183"/>
      <c r="C32" s="193"/>
      <c r="D32" s="2513">
        <v>1</v>
      </c>
      <c r="E32" s="2514" t="s">
        <v>1854</v>
      </c>
      <c r="F32" s="187"/>
      <c r="G32" s="187"/>
      <c r="H32" s="2904">
        <f>採点Q1!H206</f>
        <v>0</v>
      </c>
      <c r="I32" s="2908"/>
      <c r="J32" s="2908"/>
      <c r="K32" s="2908"/>
      <c r="L32" s="2909"/>
      <c r="M32" s="232">
        <f t="shared" si="4"/>
        <v>1</v>
      </c>
      <c r="N32" s="244">
        <f t="shared" si="5"/>
        <v>0</v>
      </c>
      <c r="O32" s="232">
        <f t="shared" si="6"/>
        <v>0</v>
      </c>
      <c r="P32" s="244">
        <f t="shared" si="7"/>
        <v>0</v>
      </c>
      <c r="Q32" s="229"/>
      <c r="R32" s="422"/>
      <c r="S32" s="397">
        <f>IF(採点Q1!D199="対象外",0,採点Q1!D199)</f>
        <v>1</v>
      </c>
      <c r="T32" s="532">
        <f>重み!D32</f>
        <v>0</v>
      </c>
      <c r="U32" s="396"/>
      <c r="V32" s="301">
        <f>重み!E32</f>
        <v>0</v>
      </c>
      <c r="W32" s="299"/>
      <c r="X32" s="422"/>
      <c r="Y32" s="394">
        <f>重み!M32</f>
        <v>0</v>
      </c>
      <c r="AA32" s="394">
        <f>重み!N32</f>
        <v>0</v>
      </c>
    </row>
    <row r="33" spans="1:27" ht="13.8" hidden="1" thickBot="1">
      <c r="A33" s="40"/>
      <c r="B33" s="183"/>
      <c r="C33" s="188"/>
      <c r="D33" s="2513">
        <v>2</v>
      </c>
      <c r="E33" s="2514" t="s">
        <v>1855</v>
      </c>
      <c r="F33" s="187"/>
      <c r="G33" s="187"/>
      <c r="H33" s="2910">
        <f>採点Q1!H216</f>
        <v>0</v>
      </c>
      <c r="I33" s="2911"/>
      <c r="J33" s="2911"/>
      <c r="K33" s="2911"/>
      <c r="L33" s="2912"/>
      <c r="M33" s="233">
        <f t="shared" si="4"/>
        <v>2</v>
      </c>
      <c r="N33" s="244">
        <f t="shared" si="5"/>
        <v>0</v>
      </c>
      <c r="O33" s="233">
        <f t="shared" si="6"/>
        <v>0</v>
      </c>
      <c r="P33" s="244">
        <f t="shared" si="7"/>
        <v>0</v>
      </c>
      <c r="Q33" s="229"/>
      <c r="R33" s="422"/>
      <c r="S33" s="397">
        <f>IF(採点Q1!D209="対象外",0,採点Q1!D209)</f>
        <v>2</v>
      </c>
      <c r="T33" s="532">
        <f>重み!D33</f>
        <v>0</v>
      </c>
      <c r="U33" s="396"/>
      <c r="V33" s="301">
        <f>重み!E33</f>
        <v>0</v>
      </c>
      <c r="W33" s="299"/>
      <c r="X33" s="422"/>
      <c r="Y33" s="394">
        <f>重み!M33</f>
        <v>0</v>
      </c>
      <c r="AA33" s="394">
        <f>重み!N33</f>
        <v>0</v>
      </c>
    </row>
    <row r="34" spans="1:27" ht="16.2" thickBot="1">
      <c r="A34" s="40"/>
      <c r="B34" s="202" t="s">
        <v>704</v>
      </c>
      <c r="C34" s="203" t="s">
        <v>514</v>
      </c>
      <c r="D34" s="554"/>
      <c r="E34" s="554"/>
      <c r="F34" s="204"/>
      <c r="G34" s="204"/>
      <c r="H34" s="1004"/>
      <c r="I34" s="1005"/>
      <c r="J34" s="1005"/>
      <c r="K34" s="1005"/>
      <c r="L34" s="1006"/>
      <c r="M34" s="334">
        <f t="shared" si="2"/>
        <v>0</v>
      </c>
      <c r="N34" s="241">
        <f t="shared" si="1"/>
        <v>0.3</v>
      </c>
      <c r="O34" s="334">
        <f t="shared" si="3"/>
        <v>0</v>
      </c>
      <c r="P34" s="241">
        <f t="shared" si="0"/>
        <v>0</v>
      </c>
      <c r="Q34" s="242">
        <f>ROUNDDOWN(W34,1)</f>
        <v>3.9</v>
      </c>
      <c r="R34" s="422"/>
      <c r="S34" s="398"/>
      <c r="T34" s="531">
        <f>重み!D34</f>
        <v>0.3</v>
      </c>
      <c r="U34" s="396"/>
      <c r="V34" s="301">
        <f>重み!E34</f>
        <v>0</v>
      </c>
      <c r="W34" s="299">
        <f>W35*T35+W46*T46+W51*T51</f>
        <v>3.9616666666666664</v>
      </c>
      <c r="X34" s="422"/>
      <c r="Y34" s="394">
        <f>重み!M34</f>
        <v>0.3</v>
      </c>
      <c r="AA34" s="394">
        <f>重み!N34</f>
        <v>0</v>
      </c>
    </row>
    <row r="35" spans="1:27" ht="18" customHeight="1" thickBot="1">
      <c r="A35" s="40"/>
      <c r="B35" s="179">
        <v>1</v>
      </c>
      <c r="C35" s="180" t="s">
        <v>44</v>
      </c>
      <c r="D35" s="549"/>
      <c r="E35" s="551"/>
      <c r="F35" s="182"/>
      <c r="G35" s="182"/>
      <c r="H35" s="1007"/>
      <c r="I35" s="1008"/>
      <c r="J35" s="1008"/>
      <c r="K35" s="1009"/>
      <c r="L35" s="1010"/>
      <c r="M35" s="575">
        <f t="shared" si="2"/>
        <v>3.7</v>
      </c>
      <c r="N35" s="569">
        <f t="shared" si="1"/>
        <v>0.5</v>
      </c>
      <c r="O35" s="575">
        <f t="shared" si="3"/>
        <v>0</v>
      </c>
      <c r="P35" s="569">
        <f t="shared" si="0"/>
        <v>0</v>
      </c>
      <c r="Q35" s="570">
        <f>ROUNDDOWN(W35,1)</f>
        <v>3.7</v>
      </c>
      <c r="R35" s="422"/>
      <c r="S35" s="2492">
        <f>SUMPRODUCT(S36:S41,T36:T41)</f>
        <v>3.7399999999999998</v>
      </c>
      <c r="T35" s="532">
        <f>重み!D35</f>
        <v>0.5</v>
      </c>
      <c r="U35" s="396"/>
      <c r="V35" s="301">
        <f>重み!E35</f>
        <v>0</v>
      </c>
      <c r="W35" s="299">
        <f>IF(U35=0,S35,IF(S35=0,U35,S35*Y$6+U35*AA$6))</f>
        <v>3.7399999999999998</v>
      </c>
      <c r="X35" s="422"/>
      <c r="Y35" s="394">
        <f>重み!M35</f>
        <v>0.5</v>
      </c>
      <c r="AA35" s="394">
        <f>重み!N35</f>
        <v>0</v>
      </c>
    </row>
    <row r="36" spans="1:27" ht="13.2">
      <c r="A36" s="40"/>
      <c r="B36" s="200"/>
      <c r="C36" s="193">
        <v>1.1000000000000001</v>
      </c>
      <c r="D36" s="185" t="s">
        <v>193</v>
      </c>
      <c r="E36" s="552"/>
      <c r="F36" s="198"/>
      <c r="G36" s="198"/>
      <c r="H36" s="2904">
        <f>採点Q2!H15</f>
        <v>0</v>
      </c>
      <c r="I36" s="2905"/>
      <c r="J36" s="2905"/>
      <c r="K36" s="2905"/>
      <c r="L36" s="2905"/>
      <c r="M36" s="573">
        <f t="shared" si="2"/>
        <v>5</v>
      </c>
      <c r="N36" s="228">
        <f t="shared" si="1"/>
        <v>0.3</v>
      </c>
      <c r="O36" s="573">
        <f t="shared" si="3"/>
        <v>0</v>
      </c>
      <c r="P36" s="228">
        <f t="shared" si="0"/>
        <v>0</v>
      </c>
      <c r="Q36" s="229"/>
      <c r="R36" s="422"/>
      <c r="S36" s="566">
        <f>IF(採点Q2!D8="対象外",0,採点Q2!D8)</f>
        <v>5</v>
      </c>
      <c r="T36" s="532">
        <f>重み!D36</f>
        <v>0.3</v>
      </c>
      <c r="U36" s="396"/>
      <c r="V36" s="301">
        <f>重み!E36</f>
        <v>0</v>
      </c>
      <c r="W36" s="299"/>
      <c r="X36" s="422"/>
      <c r="Y36" s="394">
        <f>重み!M36</f>
        <v>0.3</v>
      </c>
      <c r="AA36" s="394">
        <f>重み!N36</f>
        <v>0</v>
      </c>
    </row>
    <row r="37" spans="1:27" ht="13.2">
      <c r="A37" s="40"/>
      <c r="B37" s="200"/>
      <c r="C37" s="184">
        <v>1.2</v>
      </c>
      <c r="D37" s="185" t="s">
        <v>45</v>
      </c>
      <c r="E37" s="552"/>
      <c r="F37" s="198"/>
      <c r="G37" s="198"/>
      <c r="H37" s="2904">
        <f>採点Q2!H31</f>
        <v>0</v>
      </c>
      <c r="I37" s="2905"/>
      <c r="J37" s="2905"/>
      <c r="K37" s="2905"/>
      <c r="L37" s="2905"/>
      <c r="M37" s="250">
        <f t="shared" si="2"/>
        <v>5</v>
      </c>
      <c r="N37" s="228">
        <f t="shared" si="1"/>
        <v>0.1</v>
      </c>
      <c r="O37" s="250">
        <f t="shared" si="3"/>
        <v>0</v>
      </c>
      <c r="P37" s="228">
        <f t="shared" si="0"/>
        <v>0</v>
      </c>
      <c r="Q37" s="229"/>
      <c r="R37" s="422"/>
      <c r="S37" s="566">
        <f>IF(採点Q2!D18="対象外",0,採点Q2!D18)</f>
        <v>5</v>
      </c>
      <c r="T37" s="532">
        <f>重み!D37</f>
        <v>0.1</v>
      </c>
      <c r="U37" s="396"/>
      <c r="V37" s="301">
        <f>重み!E37</f>
        <v>0</v>
      </c>
      <c r="W37" s="299"/>
      <c r="X37" s="422"/>
      <c r="Y37" s="394">
        <f>重み!M37</f>
        <v>0.1</v>
      </c>
      <c r="AA37" s="394">
        <f>重み!N37</f>
        <v>0</v>
      </c>
    </row>
    <row r="38" spans="1:27" ht="13.2">
      <c r="A38" s="40"/>
      <c r="B38" s="183"/>
      <c r="C38" s="184">
        <v>1.3</v>
      </c>
      <c r="D38" s="197" t="s">
        <v>357</v>
      </c>
      <c r="E38" s="197"/>
      <c r="F38" s="535"/>
      <c r="G38" s="535"/>
      <c r="H38" s="2904">
        <f>採点Q2!H49</f>
        <v>0</v>
      </c>
      <c r="I38" s="2905"/>
      <c r="J38" s="2905"/>
      <c r="K38" s="2905"/>
      <c r="L38" s="2905"/>
      <c r="M38" s="250">
        <f t="shared" si="2"/>
        <v>5</v>
      </c>
      <c r="N38" s="228">
        <f t="shared" ref="N38:N50" si="8">T38</f>
        <v>0.1</v>
      </c>
      <c r="O38" s="250">
        <f t="shared" si="3"/>
        <v>0</v>
      </c>
      <c r="P38" s="228">
        <f t="shared" si="0"/>
        <v>0</v>
      </c>
      <c r="Q38" s="229"/>
      <c r="R38" s="422"/>
      <c r="S38" s="566">
        <f>IF(採点Q2!D34="対象外",0,採点Q2!D34)</f>
        <v>5</v>
      </c>
      <c r="T38" s="532">
        <f>重み!D38</f>
        <v>0.1</v>
      </c>
      <c r="U38" s="396"/>
      <c r="V38" s="301">
        <f>重み!E38</f>
        <v>0</v>
      </c>
      <c r="W38" s="299"/>
      <c r="X38" s="422"/>
      <c r="Y38" s="394">
        <f>重み!M38</f>
        <v>0.1</v>
      </c>
      <c r="AA38" s="394">
        <f>重み!N38</f>
        <v>0</v>
      </c>
    </row>
    <row r="39" spans="1:27" ht="13.2" hidden="1">
      <c r="A39" s="40"/>
      <c r="B39" s="183"/>
      <c r="C39" s="2570">
        <f>重み!B39</f>
        <v>0</v>
      </c>
      <c r="D39" s="2510" t="s">
        <v>1856</v>
      </c>
      <c r="E39" s="197"/>
      <c r="F39" s="535"/>
      <c r="G39" s="535"/>
      <c r="H39" s="2904">
        <f>採点Q2!H69</f>
        <v>0</v>
      </c>
      <c r="I39" s="2905"/>
      <c r="J39" s="2905"/>
      <c r="K39" s="2905"/>
      <c r="L39" s="2905"/>
      <c r="M39" s="250">
        <f t="shared" ref="M39" si="9">ROUNDDOWN(S39,1)</f>
        <v>4</v>
      </c>
      <c r="N39" s="228">
        <f t="shared" ref="N39" si="10">T39</f>
        <v>0</v>
      </c>
      <c r="O39" s="250">
        <f t="shared" ref="O39" si="11">ROUNDDOWN(U39,1)</f>
        <v>0</v>
      </c>
      <c r="P39" s="228">
        <f t="shared" ref="P39" si="12">V39</f>
        <v>0</v>
      </c>
      <c r="Q39" s="229"/>
      <c r="R39" s="422"/>
      <c r="S39" s="566">
        <f>IF(採点Q2!D52="対象外",0,採点Q2!D52)</f>
        <v>4</v>
      </c>
      <c r="T39" s="532">
        <f>重み!D39</f>
        <v>0</v>
      </c>
      <c r="U39" s="396"/>
      <c r="V39" s="301">
        <f>重み!E39</f>
        <v>0</v>
      </c>
      <c r="W39" s="299"/>
      <c r="X39" s="422"/>
      <c r="Y39" s="394">
        <f>重み!M39</f>
        <v>0</v>
      </c>
      <c r="AA39" s="394">
        <f>重み!N39</f>
        <v>0</v>
      </c>
    </row>
    <row r="40" spans="1:27" ht="13.8" thickBot="1">
      <c r="A40" s="40"/>
      <c r="B40" s="183"/>
      <c r="C40" s="2570">
        <f>重み!B40</f>
        <v>1.4</v>
      </c>
      <c r="D40" s="197" t="s">
        <v>1857</v>
      </c>
      <c r="E40" s="197"/>
      <c r="F40" s="535"/>
      <c r="G40" s="535"/>
      <c r="H40" s="2904">
        <f>採点Q2!H80</f>
        <v>0</v>
      </c>
      <c r="I40" s="2905"/>
      <c r="J40" s="2905"/>
      <c r="K40" s="2905"/>
      <c r="L40" s="2905"/>
      <c r="M40" s="235">
        <f>ROUNDDOWN(S40,1)</f>
        <v>3</v>
      </c>
      <c r="N40" s="228">
        <f t="shared" si="8"/>
        <v>0.3</v>
      </c>
      <c r="O40" s="235">
        <f t="shared" si="3"/>
        <v>0</v>
      </c>
      <c r="P40" s="228">
        <f t="shared" si="0"/>
        <v>0</v>
      </c>
      <c r="Q40" s="229"/>
      <c r="R40" s="422"/>
      <c r="S40" s="397">
        <f>IF(採点Q2!D73="対象外",0,採点Q2!D73)</f>
        <v>3</v>
      </c>
      <c r="T40" s="532">
        <f>重み!D40</f>
        <v>0.3</v>
      </c>
      <c r="U40" s="396"/>
      <c r="V40" s="301">
        <f>重み!E40</f>
        <v>0</v>
      </c>
      <c r="W40" s="299"/>
      <c r="X40" s="422"/>
      <c r="Y40" s="394">
        <f>重み!M40</f>
        <v>0.3</v>
      </c>
      <c r="AA40" s="394">
        <f>重み!N40</f>
        <v>0</v>
      </c>
    </row>
    <row r="41" spans="1:27" ht="13.8" thickBot="1">
      <c r="A41" s="40"/>
      <c r="B41" s="183"/>
      <c r="C41" s="2570">
        <f>重み!B41</f>
        <v>1.5</v>
      </c>
      <c r="D41" s="197" t="s">
        <v>517</v>
      </c>
      <c r="E41" s="197"/>
      <c r="F41" s="535"/>
      <c r="G41" s="535"/>
      <c r="H41" s="998"/>
      <c r="I41" s="999"/>
      <c r="J41" s="999"/>
      <c r="K41" s="999"/>
      <c r="L41" s="1011"/>
      <c r="M41" s="227">
        <f>ROUNDDOWN(S41,1)</f>
        <v>1.7</v>
      </c>
      <c r="N41" s="228">
        <f t="shared" si="8"/>
        <v>0.2</v>
      </c>
      <c r="O41" s="227">
        <f>ROUNDDOWN(U41,1)</f>
        <v>0</v>
      </c>
      <c r="P41" s="228">
        <f t="shared" si="0"/>
        <v>0</v>
      </c>
      <c r="Q41" s="229"/>
      <c r="R41" s="422"/>
      <c r="S41" s="2492">
        <f>SUMPRODUCT(S42:S45,T42:T45)</f>
        <v>1.6999999999999997</v>
      </c>
      <c r="T41" s="532">
        <f>重み!D41</f>
        <v>0.2</v>
      </c>
      <c r="U41" s="396"/>
      <c r="V41" s="301">
        <f>重み!E41</f>
        <v>0</v>
      </c>
      <c r="W41" s="299"/>
      <c r="X41" s="422"/>
      <c r="Y41" s="394">
        <f>重み!M41</f>
        <v>0.2</v>
      </c>
      <c r="AA41" s="394">
        <f>重み!N41</f>
        <v>0</v>
      </c>
    </row>
    <row r="42" spans="1:27" ht="13.8" thickBot="1">
      <c r="A42" s="40"/>
      <c r="B42" s="200"/>
      <c r="C42" s="188"/>
      <c r="D42" s="550">
        <v>1</v>
      </c>
      <c r="E42" s="186" t="str">
        <f>重み!C42</f>
        <v>火災に耐える構造</v>
      </c>
      <c r="F42" s="199"/>
      <c r="G42" s="199"/>
      <c r="H42" s="2904">
        <f>採点Q2!H91</f>
        <v>0</v>
      </c>
      <c r="I42" s="2905"/>
      <c r="J42" s="2905"/>
      <c r="K42" s="2905"/>
      <c r="L42" s="2905"/>
      <c r="M42" s="232">
        <f t="shared" ref="M42:M45" si="13">ROUNDDOWN(S42,1)</f>
        <v>1</v>
      </c>
      <c r="N42" s="244">
        <f t="shared" ref="N42:N45" si="14">T42</f>
        <v>0.65</v>
      </c>
      <c r="O42" s="232">
        <f t="shared" ref="O42:O45" si="15">ROUNDDOWN(U42,1)</f>
        <v>0</v>
      </c>
      <c r="P42" s="244">
        <f t="shared" ref="P42:P45" si="16">V42</f>
        <v>0</v>
      </c>
      <c r="Q42" s="229"/>
      <c r="R42" s="422"/>
      <c r="S42" s="397">
        <f>IF(採点Q2!D84="対象外",0,採点Q2!D84)</f>
        <v>1</v>
      </c>
      <c r="T42" s="532">
        <f>重み!D42</f>
        <v>0.65</v>
      </c>
      <c r="U42" s="396"/>
      <c r="V42" s="301">
        <f>重み!E42</f>
        <v>0</v>
      </c>
      <c r="W42" s="299"/>
      <c r="X42" s="422"/>
      <c r="Y42" s="394">
        <f>重み!M42</f>
        <v>0.65</v>
      </c>
      <c r="AA42" s="394">
        <f>重み!N42</f>
        <v>0</v>
      </c>
    </row>
    <row r="43" spans="1:27" ht="13.8" hidden="1" thickBot="1">
      <c r="A43" s="40"/>
      <c r="B43" s="200"/>
      <c r="C43" s="188"/>
      <c r="D43" s="550">
        <v>2</v>
      </c>
      <c r="E43" s="186">
        <f>重み!C43</f>
        <v>0</v>
      </c>
      <c r="F43" s="199"/>
      <c r="G43" s="199"/>
      <c r="H43" s="2904">
        <f>採点Q2!H101</f>
        <v>0</v>
      </c>
      <c r="I43" s="2905"/>
      <c r="J43" s="2905"/>
      <c r="K43" s="2905"/>
      <c r="L43" s="2905"/>
      <c r="M43" s="234">
        <f t="shared" si="13"/>
        <v>3</v>
      </c>
      <c r="N43" s="244">
        <f t="shared" si="14"/>
        <v>0</v>
      </c>
      <c r="O43" s="233">
        <f t="shared" si="15"/>
        <v>0</v>
      </c>
      <c r="P43" s="244">
        <f t="shared" si="16"/>
        <v>0</v>
      </c>
      <c r="Q43" s="229"/>
      <c r="R43" s="422"/>
      <c r="S43" s="397">
        <f>IF(採点Q2!D94="対象外",0,採点Q2!D94)</f>
        <v>3</v>
      </c>
      <c r="T43" s="532">
        <f>重み!D43</f>
        <v>0</v>
      </c>
      <c r="U43" s="396"/>
      <c r="V43" s="301">
        <f>重み!E43</f>
        <v>0</v>
      </c>
      <c r="W43" s="299"/>
      <c r="X43" s="422"/>
      <c r="Y43" s="394">
        <f>重み!M43</f>
        <v>0</v>
      </c>
      <c r="AA43" s="394">
        <f>重み!N43</f>
        <v>0</v>
      </c>
    </row>
    <row r="44" spans="1:27" ht="13.8" thickBot="1">
      <c r="A44" s="40"/>
      <c r="B44" s="200"/>
      <c r="C44" s="188"/>
      <c r="D44" s="2602">
        <v>2</v>
      </c>
      <c r="E44" s="186" t="str">
        <f>重み!C44</f>
        <v>火災の早期感知</v>
      </c>
      <c r="F44" s="199"/>
      <c r="G44" s="199"/>
      <c r="H44" s="2904">
        <f>採点Q2!H111</f>
        <v>0</v>
      </c>
      <c r="I44" s="2905"/>
      <c r="J44" s="2905"/>
      <c r="K44" s="2905"/>
      <c r="L44" s="2905"/>
      <c r="M44" s="234">
        <f t="shared" si="13"/>
        <v>3</v>
      </c>
      <c r="N44" s="244">
        <f t="shared" si="14"/>
        <v>0.35</v>
      </c>
      <c r="O44" s="232">
        <f t="shared" si="15"/>
        <v>0</v>
      </c>
      <c r="P44" s="244">
        <f t="shared" si="16"/>
        <v>0</v>
      </c>
      <c r="Q44" s="229"/>
      <c r="R44" s="422"/>
      <c r="S44" s="397">
        <f>IF(採点Q2!D104="対象外",0,採点Q2!D104)</f>
        <v>3</v>
      </c>
      <c r="T44" s="532">
        <f>重み!D44</f>
        <v>0.35</v>
      </c>
      <c r="U44" s="396"/>
      <c r="V44" s="301">
        <f>重み!E44</f>
        <v>0</v>
      </c>
      <c r="W44" s="299"/>
      <c r="X44" s="422"/>
      <c r="Y44" s="394">
        <f>重み!M44</f>
        <v>0.35</v>
      </c>
      <c r="AA44" s="394">
        <f>重み!N44</f>
        <v>0</v>
      </c>
    </row>
    <row r="45" spans="1:27" ht="13.8" hidden="1" thickBot="1">
      <c r="A45" s="40"/>
      <c r="B45" s="542"/>
      <c r="C45" s="2464"/>
      <c r="D45" s="550">
        <v>4</v>
      </c>
      <c r="E45" s="2511">
        <f>重み!C45</f>
        <v>0</v>
      </c>
      <c r="F45" s="199"/>
      <c r="G45" s="182"/>
      <c r="H45" s="2904">
        <f>採点Q2!H121</f>
        <v>0</v>
      </c>
      <c r="I45" s="2905"/>
      <c r="J45" s="2905"/>
      <c r="K45" s="2905"/>
      <c r="L45" s="2905"/>
      <c r="M45" s="234">
        <f t="shared" si="13"/>
        <v>3</v>
      </c>
      <c r="N45" s="244">
        <f t="shared" si="14"/>
        <v>0</v>
      </c>
      <c r="O45" s="233">
        <f t="shared" si="15"/>
        <v>0</v>
      </c>
      <c r="P45" s="244">
        <f t="shared" si="16"/>
        <v>0</v>
      </c>
      <c r="Q45" s="229"/>
      <c r="R45" s="422"/>
      <c r="S45" s="397">
        <f>IF(採点Q2!D114="対象外",0,採点Q2!D114)</f>
        <v>3</v>
      </c>
      <c r="T45" s="532">
        <f>重み!D45</f>
        <v>0</v>
      </c>
      <c r="U45" s="396"/>
      <c r="V45" s="301">
        <f>重み!E45</f>
        <v>0</v>
      </c>
      <c r="W45" s="299"/>
      <c r="X45" s="422"/>
      <c r="Y45" s="394">
        <f>重み!M45</f>
        <v>0</v>
      </c>
      <c r="AA45" s="394">
        <f>重み!N45</f>
        <v>0</v>
      </c>
    </row>
    <row r="46" spans="1:27" ht="13.8" thickBot="1">
      <c r="A46" s="40"/>
      <c r="B46" s="208">
        <v>2</v>
      </c>
      <c r="C46" s="196" t="s">
        <v>519</v>
      </c>
      <c r="D46" s="555"/>
      <c r="E46" s="555"/>
      <c r="F46" s="199"/>
      <c r="G46" s="182"/>
      <c r="H46" s="1001"/>
      <c r="I46" s="1002"/>
      <c r="J46" s="1002"/>
      <c r="K46" s="1002"/>
      <c r="L46" s="1003"/>
      <c r="M46" s="2577">
        <f t="shared" si="2"/>
        <v>3.7</v>
      </c>
      <c r="N46" s="237">
        <f t="shared" si="8"/>
        <v>0.25</v>
      </c>
      <c r="O46" s="236">
        <f t="shared" ref="O46:O88" si="17">ROUNDDOWN(U46,1)</f>
        <v>0</v>
      </c>
      <c r="P46" s="237">
        <f t="shared" si="0"/>
        <v>0</v>
      </c>
      <c r="Q46" s="238">
        <f>ROUNDDOWN(W46,1)</f>
        <v>3.7</v>
      </c>
      <c r="R46" s="422"/>
      <c r="S46" s="298">
        <f>S47*T47+S50*T50</f>
        <v>3.7</v>
      </c>
      <c r="T46" s="532">
        <f>重み!D46</f>
        <v>0.25</v>
      </c>
      <c r="U46" s="396"/>
      <c r="V46" s="301">
        <f>重み!E46</f>
        <v>0</v>
      </c>
      <c r="W46" s="299">
        <f>IF(U46=0,S46,IF(S46=0,U46,S46*Y$6+U46*AA$6))</f>
        <v>3.7</v>
      </c>
      <c r="X46" s="422"/>
      <c r="Y46" s="394">
        <f>重み!M46</f>
        <v>0.25</v>
      </c>
      <c r="AA46" s="394">
        <f>重み!N46</f>
        <v>0</v>
      </c>
    </row>
    <row r="47" spans="1:27" ht="13.8" thickBot="1">
      <c r="A47" s="40"/>
      <c r="B47" s="183"/>
      <c r="C47" s="193">
        <v>2.1</v>
      </c>
      <c r="D47" s="103" t="s">
        <v>521</v>
      </c>
      <c r="E47" s="103"/>
      <c r="F47" s="194"/>
      <c r="G47" s="194"/>
      <c r="H47" s="998">
        <f>採点Q2!H140</f>
        <v>0</v>
      </c>
      <c r="I47" s="999"/>
      <c r="J47" s="999"/>
      <c r="K47" s="999"/>
      <c r="L47" s="1000"/>
      <c r="M47" s="2577">
        <f t="shared" si="2"/>
        <v>3</v>
      </c>
      <c r="N47" s="244">
        <f t="shared" si="8"/>
        <v>0.65</v>
      </c>
      <c r="O47" s="230">
        <f t="shared" si="17"/>
        <v>0</v>
      </c>
      <c r="P47" s="244">
        <f t="shared" si="0"/>
        <v>0</v>
      </c>
      <c r="Q47" s="229"/>
      <c r="R47" s="422"/>
      <c r="S47" s="2492">
        <f>SUMPRODUCT(S48:S49,T48:T49)</f>
        <v>3</v>
      </c>
      <c r="T47" s="532">
        <f>重み!D47</f>
        <v>0.65</v>
      </c>
      <c r="U47" s="396"/>
      <c r="V47" s="301">
        <f>重み!E47</f>
        <v>0</v>
      </c>
      <c r="W47" s="299"/>
      <c r="X47" s="422"/>
      <c r="Y47" s="394">
        <f>重み!M47</f>
        <v>0.65</v>
      </c>
      <c r="AA47" s="394">
        <f>重み!N47</f>
        <v>0</v>
      </c>
    </row>
    <row r="48" spans="1:27" ht="13.2" hidden="1">
      <c r="A48" s="40"/>
      <c r="B48" s="183"/>
      <c r="C48" s="193"/>
      <c r="D48" s="550">
        <v>1</v>
      </c>
      <c r="E48" s="2511" t="str">
        <f>重み!C48</f>
        <v>維持管理のしやすさ</v>
      </c>
      <c r="F48" s="199"/>
      <c r="G48" s="187"/>
      <c r="H48" s="2904">
        <f>採点Q2!H161</f>
        <v>0</v>
      </c>
      <c r="I48" s="2905"/>
      <c r="J48" s="2905"/>
      <c r="K48" s="2905"/>
      <c r="L48" s="2905"/>
      <c r="M48" s="232">
        <f t="shared" si="2"/>
        <v>3</v>
      </c>
      <c r="N48" s="244">
        <f t="shared" si="8"/>
        <v>1</v>
      </c>
      <c r="O48" s="232">
        <f t="shared" si="17"/>
        <v>0</v>
      </c>
      <c r="P48" s="244">
        <f t="shared" si="0"/>
        <v>0</v>
      </c>
      <c r="Q48" s="229"/>
      <c r="R48" s="422"/>
      <c r="S48" s="397">
        <f>IF(採点Q2!D125="対象外",0,採点Q2!D125)</f>
        <v>3</v>
      </c>
      <c r="T48" s="532">
        <f>重み!D48</f>
        <v>1</v>
      </c>
      <c r="U48" s="396"/>
      <c r="V48" s="301">
        <f>重み!E48</f>
        <v>0</v>
      </c>
      <c r="W48" s="299"/>
      <c r="X48" s="422"/>
      <c r="Y48" s="394">
        <f>重み!M48</f>
        <v>1</v>
      </c>
      <c r="AA48" s="394">
        <f>重み!N48</f>
        <v>0</v>
      </c>
    </row>
    <row r="49" spans="1:27" ht="13.8" hidden="1" thickBot="1">
      <c r="A49" s="40"/>
      <c r="B49" s="183"/>
      <c r="C49" s="2464"/>
      <c r="D49" s="550">
        <v>2</v>
      </c>
      <c r="E49" s="2511" t="s">
        <v>1863</v>
      </c>
      <c r="F49" s="199"/>
      <c r="G49" s="187"/>
      <c r="H49" s="2904">
        <f>採点Q2!H171</f>
        <v>0</v>
      </c>
      <c r="I49" s="2905"/>
      <c r="J49" s="2905"/>
      <c r="K49" s="2905"/>
      <c r="L49" s="2905"/>
      <c r="M49" s="234">
        <f t="shared" si="2"/>
        <v>3</v>
      </c>
      <c r="N49" s="244">
        <f t="shared" si="8"/>
        <v>0</v>
      </c>
      <c r="O49" s="233">
        <f t="shared" si="17"/>
        <v>0</v>
      </c>
      <c r="P49" s="244">
        <f t="shared" si="0"/>
        <v>0</v>
      </c>
      <c r="Q49" s="229"/>
      <c r="R49" s="422"/>
      <c r="S49" s="397">
        <f>IF(採点Q2!D164="対象外",0,採点Q2!D164)</f>
        <v>3</v>
      </c>
      <c r="T49" s="532">
        <f>重み!D49</f>
        <v>0</v>
      </c>
      <c r="U49" s="396"/>
      <c r="V49" s="301">
        <f>重み!E49</f>
        <v>0</v>
      </c>
      <c r="W49" s="299"/>
      <c r="X49" s="422"/>
      <c r="Y49" s="394">
        <f>重み!M49</f>
        <v>0</v>
      </c>
      <c r="AA49" s="394">
        <f>重み!N49</f>
        <v>0</v>
      </c>
    </row>
    <row r="50" spans="1:27" ht="13.8" thickBot="1">
      <c r="A50" s="40"/>
      <c r="B50" s="200"/>
      <c r="C50" s="195">
        <v>2.2000000000000002</v>
      </c>
      <c r="D50" s="197" t="s">
        <v>265</v>
      </c>
      <c r="E50" s="552"/>
      <c r="F50" s="198"/>
      <c r="G50" s="198"/>
      <c r="H50" s="2904">
        <f>採点Q2!H189</f>
        <v>0</v>
      </c>
      <c r="I50" s="2905"/>
      <c r="J50" s="2905"/>
      <c r="K50" s="2905"/>
      <c r="L50" s="2905"/>
      <c r="M50" s="235">
        <f t="shared" si="2"/>
        <v>5</v>
      </c>
      <c r="N50" s="244">
        <f t="shared" si="8"/>
        <v>0.35</v>
      </c>
      <c r="O50" s="235">
        <f t="shared" si="17"/>
        <v>0</v>
      </c>
      <c r="P50" s="244">
        <f t="shared" si="0"/>
        <v>0</v>
      </c>
      <c r="Q50" s="229"/>
      <c r="R50" s="422"/>
      <c r="S50" s="397">
        <f>IF(採点Q2!D175="対象外",0,採点Q2!D175)</f>
        <v>5</v>
      </c>
      <c r="T50" s="532">
        <f>重み!D50</f>
        <v>0.35</v>
      </c>
      <c r="U50" s="396"/>
      <c r="V50" s="301">
        <f>重み!E50</f>
        <v>0</v>
      </c>
      <c r="W50" s="299"/>
      <c r="X50" s="422"/>
      <c r="Y50" s="394">
        <f>重み!M50</f>
        <v>0.35</v>
      </c>
      <c r="AA50" s="394">
        <f>重み!N50</f>
        <v>0</v>
      </c>
    </row>
    <row r="51" spans="1:27" ht="13.2">
      <c r="A51" s="40"/>
      <c r="B51" s="208">
        <v>3</v>
      </c>
      <c r="C51" s="196" t="s">
        <v>352</v>
      </c>
      <c r="D51" s="555"/>
      <c r="E51" s="555"/>
      <c r="F51" s="199"/>
      <c r="G51" s="198"/>
      <c r="H51" s="1001"/>
      <c r="I51" s="1002"/>
      <c r="J51" s="1002"/>
      <c r="K51" s="1002"/>
      <c r="L51" s="1003"/>
      <c r="M51" s="236">
        <f t="shared" ref="M51:M103" si="18">ROUNDDOWN(S51,1)</f>
        <v>4.5999999999999996</v>
      </c>
      <c r="N51" s="237">
        <f t="shared" ref="N51:N103" si="19">T51</f>
        <v>0.25</v>
      </c>
      <c r="O51" s="245">
        <f t="shared" si="17"/>
        <v>0</v>
      </c>
      <c r="P51" s="237">
        <f t="shared" si="0"/>
        <v>0</v>
      </c>
      <c r="Q51" s="238">
        <f>ROUNDDOWN(W51,1)</f>
        <v>4.5999999999999996</v>
      </c>
      <c r="R51" s="422"/>
      <c r="S51" s="298">
        <f>S52*T52+S54*T54+S57*T57</f>
        <v>4.6666666666666661</v>
      </c>
      <c r="T51" s="532">
        <f>重み!D51</f>
        <v>0.25</v>
      </c>
      <c r="U51" s="396"/>
      <c r="V51" s="301">
        <f>重み!E51</f>
        <v>0</v>
      </c>
      <c r="W51" s="299">
        <f>IF(U51=0,S51,IF(S51=0,U51,S51*Y$6+U51*AA$6))</f>
        <v>4.6666666666666661</v>
      </c>
      <c r="X51" s="422"/>
      <c r="Y51" s="394">
        <f>重み!M51</f>
        <v>0.25</v>
      </c>
      <c r="AA51" s="394">
        <f>重み!N51</f>
        <v>0</v>
      </c>
    </row>
    <row r="52" spans="1:27" ht="13.2">
      <c r="A52" s="40"/>
      <c r="B52" s="183"/>
      <c r="C52" s="193">
        <v>3.1</v>
      </c>
      <c r="D52" s="103" t="str">
        <f>重み!C52</f>
        <v>広さと間取り</v>
      </c>
      <c r="E52" s="103"/>
      <c r="F52" s="194"/>
      <c r="G52" s="194"/>
      <c r="H52" s="998">
        <f>採点Q2!H215</f>
        <v>0</v>
      </c>
      <c r="I52" s="999"/>
      <c r="J52" s="999"/>
      <c r="K52" s="999"/>
      <c r="L52" s="1000"/>
      <c r="M52" s="230">
        <f t="shared" si="2"/>
        <v>5</v>
      </c>
      <c r="N52" s="244">
        <f t="shared" si="19"/>
        <v>0.33333333333333331</v>
      </c>
      <c r="O52" s="230">
        <f t="shared" si="17"/>
        <v>0</v>
      </c>
      <c r="P52" s="244">
        <f t="shared" si="0"/>
        <v>0</v>
      </c>
      <c r="Q52" s="229"/>
      <c r="R52" s="422"/>
      <c r="S52" s="2492">
        <f>SUMPRODUCT(S53:S53,T53:T53)</f>
        <v>5</v>
      </c>
      <c r="T52" s="532">
        <f>重み!D52</f>
        <v>0.33333333333333331</v>
      </c>
      <c r="U52" s="396"/>
      <c r="V52" s="301">
        <f>重み!E52</f>
        <v>0</v>
      </c>
      <c r="W52" s="299"/>
      <c r="X52" s="422"/>
      <c r="Y52" s="394">
        <f>重み!M52</f>
        <v>0.33333333333333331</v>
      </c>
      <c r="AA52" s="394">
        <f>重み!N52</f>
        <v>0</v>
      </c>
    </row>
    <row r="53" spans="1:27" ht="13.8" hidden="1" thickBot="1">
      <c r="A53" s="40"/>
      <c r="B53" s="183"/>
      <c r="C53" s="537"/>
      <c r="D53" s="550">
        <v>1</v>
      </c>
      <c r="E53" s="2511" t="s">
        <v>1865</v>
      </c>
      <c r="F53" s="199"/>
      <c r="G53" s="187"/>
      <c r="H53" s="2904">
        <f>採点Q2!H216</f>
        <v>0</v>
      </c>
      <c r="I53" s="2905"/>
      <c r="J53" s="2905"/>
      <c r="K53" s="2905"/>
      <c r="L53" s="2905"/>
      <c r="M53" s="2578">
        <f t="shared" ref="M53" si="20">ROUNDDOWN(S53,1)</f>
        <v>5</v>
      </c>
      <c r="N53" s="228">
        <f t="shared" si="19"/>
        <v>1</v>
      </c>
      <c r="O53" s="543">
        <f t="shared" ref="O53" si="21">ROUNDDOWN(U53,1)</f>
        <v>0</v>
      </c>
      <c r="P53" s="228">
        <f t="shared" ref="P53" si="22">V53</f>
        <v>0</v>
      </c>
      <c r="Q53" s="229"/>
      <c r="R53" s="422"/>
      <c r="S53" s="397">
        <f>IF(採点Q2!D194="対象外",0,採点Q2!D194)</f>
        <v>5</v>
      </c>
      <c r="T53" s="532">
        <f>重み!D53</f>
        <v>1</v>
      </c>
      <c r="U53" s="396"/>
      <c r="V53" s="301">
        <f>重み!E53</f>
        <v>0</v>
      </c>
      <c r="W53" s="299"/>
      <c r="X53" s="422"/>
      <c r="Y53" s="394">
        <f>重み!M53</f>
        <v>1</v>
      </c>
      <c r="AA53" s="394">
        <f>重み!N53</f>
        <v>0</v>
      </c>
    </row>
    <row r="54" spans="1:27" ht="13.2">
      <c r="A54" s="40"/>
      <c r="B54" s="183"/>
      <c r="C54" s="184">
        <v>3.2</v>
      </c>
      <c r="D54" s="185" t="s">
        <v>524</v>
      </c>
      <c r="E54" s="185"/>
      <c r="F54" s="2579"/>
      <c r="G54" s="194"/>
      <c r="H54" s="998">
        <f>採点Q2!H236</f>
        <v>0</v>
      </c>
      <c r="I54" s="999"/>
      <c r="J54" s="999"/>
      <c r="K54" s="999"/>
      <c r="L54" s="1000"/>
      <c r="M54" s="227">
        <f t="shared" si="2"/>
        <v>4</v>
      </c>
      <c r="N54" s="244">
        <f t="shared" si="19"/>
        <v>0.33333333333333331</v>
      </c>
      <c r="O54" s="230">
        <f t="shared" si="17"/>
        <v>0</v>
      </c>
      <c r="P54" s="244">
        <f t="shared" si="0"/>
        <v>0</v>
      </c>
      <c r="Q54" s="229"/>
      <c r="R54" s="422"/>
      <c r="S54" s="2492">
        <f>SUMPRODUCT(S55:S56,T55:T56)</f>
        <v>4</v>
      </c>
      <c r="T54" s="532">
        <f>重み!D54</f>
        <v>0.33333333333333331</v>
      </c>
      <c r="U54" s="396"/>
      <c r="V54" s="301">
        <f>重み!E54</f>
        <v>0</v>
      </c>
      <c r="W54" s="299"/>
      <c r="X54" s="422"/>
      <c r="Y54" s="394">
        <f>重み!M54</f>
        <v>0.33333333333333331</v>
      </c>
      <c r="AA54" s="394">
        <f>重み!N54</f>
        <v>0</v>
      </c>
    </row>
    <row r="55" spans="1:27" ht="13.2" hidden="1">
      <c r="A55" s="40"/>
      <c r="B55" s="183"/>
      <c r="C55" s="193"/>
      <c r="D55" s="550">
        <v>1</v>
      </c>
      <c r="E55" s="2511" t="s">
        <v>1866</v>
      </c>
      <c r="F55" s="199"/>
      <c r="G55" s="187"/>
      <c r="H55" s="2904">
        <f>採点Q2!H237</f>
        <v>0</v>
      </c>
      <c r="I55" s="2905"/>
      <c r="J55" s="2905"/>
      <c r="K55" s="2905"/>
      <c r="L55" s="2905"/>
      <c r="M55" s="232">
        <f t="shared" ref="M55:M56" si="23">ROUNDDOWN(S55,1)</f>
        <v>4</v>
      </c>
      <c r="N55" s="244">
        <f t="shared" si="19"/>
        <v>1</v>
      </c>
      <c r="O55" s="232">
        <f t="shared" ref="O55:O56" si="24">ROUNDDOWN(U55,1)</f>
        <v>0</v>
      </c>
      <c r="P55" s="244">
        <f t="shared" ref="P55:P56" si="25">V55</f>
        <v>0</v>
      </c>
      <c r="Q55" s="229"/>
      <c r="R55" s="422"/>
      <c r="S55" s="397">
        <f>IF(採点Q2!D220="対象外",0,採点Q2!D220)</f>
        <v>4</v>
      </c>
      <c r="T55" s="532">
        <f>重み!D55</f>
        <v>1</v>
      </c>
      <c r="U55" s="396"/>
      <c r="V55" s="301">
        <f>重み!E55</f>
        <v>0</v>
      </c>
      <c r="W55" s="299"/>
      <c r="X55" s="422"/>
      <c r="Y55" s="394">
        <f>重み!M55</f>
        <v>1</v>
      </c>
      <c r="AA55" s="394">
        <f>重み!N55</f>
        <v>0</v>
      </c>
    </row>
    <row r="56" spans="1:27" ht="13.8" hidden="1" thickBot="1">
      <c r="A56" s="40"/>
      <c r="B56" s="183"/>
      <c r="C56" s="2464"/>
      <c r="D56" s="550">
        <v>2</v>
      </c>
      <c r="E56" s="2511" t="s">
        <v>1867</v>
      </c>
      <c r="F56" s="199"/>
      <c r="G56" s="187"/>
      <c r="H56" s="2904">
        <f>採点Q2!H253</f>
        <v>0</v>
      </c>
      <c r="I56" s="2905"/>
      <c r="J56" s="2905"/>
      <c r="K56" s="2905"/>
      <c r="L56" s="2905"/>
      <c r="M56" s="233">
        <f t="shared" si="23"/>
        <v>3</v>
      </c>
      <c r="N56" s="244">
        <f t="shared" si="19"/>
        <v>0</v>
      </c>
      <c r="O56" s="233">
        <f t="shared" si="24"/>
        <v>0</v>
      </c>
      <c r="P56" s="244">
        <f t="shared" si="25"/>
        <v>0</v>
      </c>
      <c r="Q56" s="229"/>
      <c r="R56" s="422"/>
      <c r="S56" s="397">
        <f>IF(採点Q2!D240="対象外",0,採点Q2!D240)</f>
        <v>3</v>
      </c>
      <c r="T56" s="532">
        <f>重み!D56</f>
        <v>0</v>
      </c>
      <c r="U56" s="396"/>
      <c r="V56" s="301">
        <f>重み!E56</f>
        <v>0</v>
      </c>
      <c r="W56" s="299"/>
      <c r="X56" s="422"/>
      <c r="Y56" s="394">
        <f>重み!M56</f>
        <v>0</v>
      </c>
      <c r="AA56" s="394">
        <f>重み!N56</f>
        <v>0</v>
      </c>
    </row>
    <row r="57" spans="1:27" ht="13.8" thickBot="1">
      <c r="A57" s="40"/>
      <c r="B57" s="183"/>
      <c r="C57" s="184">
        <v>3.3</v>
      </c>
      <c r="D57" s="185" t="s">
        <v>1708</v>
      </c>
      <c r="E57" s="185"/>
      <c r="F57" s="2579"/>
      <c r="G57" s="194"/>
      <c r="H57" s="998">
        <f>採点Q2!H264</f>
        <v>0</v>
      </c>
      <c r="I57" s="999"/>
      <c r="J57" s="999"/>
      <c r="K57" s="999"/>
      <c r="L57" s="1000"/>
      <c r="M57" s="2580">
        <f>ROUNDDOWN(S57,1)</f>
        <v>5</v>
      </c>
      <c r="N57" s="244">
        <f t="shared" si="19"/>
        <v>0.33333333333333331</v>
      </c>
      <c r="O57" s="230"/>
      <c r="P57" s="244"/>
      <c r="Q57" s="229"/>
      <c r="R57" s="422"/>
      <c r="S57" s="2492">
        <f>SUMPRODUCT(S58:S59,T58:T59)</f>
        <v>5</v>
      </c>
      <c r="T57" s="532">
        <f>重み!D57</f>
        <v>0.33333333333333331</v>
      </c>
      <c r="U57" s="396"/>
      <c r="V57" s="301">
        <f>重み!E57</f>
        <v>0</v>
      </c>
      <c r="W57" s="299"/>
      <c r="X57" s="422"/>
      <c r="Y57" s="394">
        <f>重み!M57</f>
        <v>0.33333333333333331</v>
      </c>
      <c r="AA57" s="394">
        <f>重み!N57</f>
        <v>0</v>
      </c>
    </row>
    <row r="58" spans="1:27" ht="13.2" hidden="1">
      <c r="A58" s="40"/>
      <c r="B58" s="183"/>
      <c r="C58" s="193"/>
      <c r="D58" s="550">
        <v>1</v>
      </c>
      <c r="E58" s="2511" t="s">
        <v>1868</v>
      </c>
      <c r="F58" s="199"/>
      <c r="G58" s="187"/>
      <c r="H58" s="2904">
        <f>採点Q2!H272</f>
        <v>0</v>
      </c>
      <c r="I58" s="2905"/>
      <c r="J58" s="2905"/>
      <c r="K58" s="2905"/>
      <c r="L58" s="2905"/>
      <c r="M58" s="232">
        <f t="shared" ref="M58:M59" si="26">ROUNDDOWN(S58,1)</f>
        <v>5</v>
      </c>
      <c r="N58" s="244">
        <f t="shared" si="19"/>
        <v>1</v>
      </c>
      <c r="O58" s="232">
        <f t="shared" ref="O58:O59" si="27">ROUNDDOWN(U58,1)</f>
        <v>0</v>
      </c>
      <c r="P58" s="244">
        <f t="shared" ref="P58:P59" si="28">V58</f>
        <v>0</v>
      </c>
      <c r="Q58" s="229"/>
      <c r="R58" s="422"/>
      <c r="S58" s="397">
        <f>IF(採点Q2!D257="対象外",0,採点Q2!D257)</f>
        <v>5</v>
      </c>
      <c r="T58" s="532">
        <f>重み!D58</f>
        <v>1</v>
      </c>
      <c r="U58" s="396"/>
      <c r="V58" s="301">
        <f>重み!E58</f>
        <v>0</v>
      </c>
      <c r="W58" s="299"/>
      <c r="X58" s="422"/>
      <c r="Y58" s="394">
        <f>重み!M58</f>
        <v>1</v>
      </c>
      <c r="AA58" s="394">
        <f>重み!N58</f>
        <v>0</v>
      </c>
    </row>
    <row r="59" spans="1:27" ht="13.8" hidden="1" thickBot="1">
      <c r="A59" s="40"/>
      <c r="B59" s="183"/>
      <c r="C59" s="2464"/>
      <c r="D59" s="550">
        <v>2</v>
      </c>
      <c r="E59" s="2511" t="s">
        <v>1869</v>
      </c>
      <c r="F59" s="199"/>
      <c r="G59" s="187"/>
      <c r="H59" s="2904">
        <f>採点Q2!H299</f>
        <v>0</v>
      </c>
      <c r="I59" s="2905"/>
      <c r="J59" s="2905"/>
      <c r="K59" s="2905"/>
      <c r="L59" s="2905"/>
      <c r="M59" s="233">
        <f t="shared" si="26"/>
        <v>1</v>
      </c>
      <c r="N59" s="244">
        <f t="shared" si="19"/>
        <v>0</v>
      </c>
      <c r="O59" s="233">
        <f t="shared" si="27"/>
        <v>0</v>
      </c>
      <c r="P59" s="244">
        <f t="shared" si="28"/>
        <v>0</v>
      </c>
      <c r="Q59" s="229"/>
      <c r="R59" s="422"/>
      <c r="S59" s="397">
        <f>IF(採点Q2!D275="対象外",0,採点Q2!D275)</f>
        <v>1</v>
      </c>
      <c r="T59" s="532">
        <f>重み!D59</f>
        <v>0</v>
      </c>
      <c r="U59" s="396"/>
      <c r="V59" s="301">
        <f>重み!E59</f>
        <v>0</v>
      </c>
      <c r="W59" s="299"/>
      <c r="X59" s="422"/>
      <c r="Y59" s="394">
        <f>重み!M59</f>
        <v>0</v>
      </c>
      <c r="AA59" s="394">
        <f>重み!N59</f>
        <v>0</v>
      </c>
    </row>
    <row r="60" spans="1:27" ht="16.2" thickBot="1">
      <c r="A60" s="40"/>
      <c r="B60" s="202" t="s">
        <v>705</v>
      </c>
      <c r="C60" s="205" t="s">
        <v>525</v>
      </c>
      <c r="D60" s="556"/>
      <c r="E60" s="556"/>
      <c r="F60" s="206"/>
      <c r="G60" s="206"/>
      <c r="H60" s="1004"/>
      <c r="I60" s="1005"/>
      <c r="J60" s="1005"/>
      <c r="K60" s="1005"/>
      <c r="L60" s="1006"/>
      <c r="M60" s="333">
        <f t="shared" si="18"/>
        <v>0</v>
      </c>
      <c r="N60" s="241">
        <f t="shared" si="19"/>
        <v>0.25</v>
      </c>
      <c r="O60" s="333">
        <f t="shared" si="17"/>
        <v>0</v>
      </c>
      <c r="P60" s="241">
        <f t="shared" si="0"/>
        <v>0</v>
      </c>
      <c r="Q60" s="242">
        <f>ROUNDDOWN(W60,1)</f>
        <v>3.8</v>
      </c>
      <c r="R60" s="422"/>
      <c r="S60" s="398"/>
      <c r="T60" s="531">
        <f>重み!D60</f>
        <v>0.25</v>
      </c>
      <c r="U60" s="396"/>
      <c r="V60" s="301">
        <f>重み!E60</f>
        <v>0</v>
      </c>
      <c r="W60" s="299">
        <f>W61*T61+W62*T62+W65*T65+T66*W66</f>
        <v>3.8050000000000002</v>
      </c>
      <c r="X60" s="422"/>
      <c r="Y60" s="394">
        <f>重み!M60</f>
        <v>0.25</v>
      </c>
      <c r="AA60" s="394">
        <f>重み!N60</f>
        <v>0</v>
      </c>
    </row>
    <row r="61" spans="1:27" ht="13.8" thickBot="1">
      <c r="A61" s="40"/>
      <c r="B61" s="179">
        <v>1</v>
      </c>
      <c r="C61" s="181" t="s">
        <v>350</v>
      </c>
      <c r="D61" s="103"/>
      <c r="E61" s="103"/>
      <c r="F61" s="182"/>
      <c r="G61" s="182"/>
      <c r="H61" s="2918">
        <f>採点Q3!H30</f>
        <v>0</v>
      </c>
      <c r="I61" s="2919"/>
      <c r="J61" s="2919"/>
      <c r="K61" s="2919"/>
      <c r="L61" s="2920"/>
      <c r="M61" s="248">
        <f t="shared" si="18"/>
        <v>5</v>
      </c>
      <c r="N61" s="244">
        <f t="shared" si="19"/>
        <v>0.3</v>
      </c>
      <c r="O61" s="248">
        <f t="shared" si="17"/>
        <v>0</v>
      </c>
      <c r="P61" s="244">
        <f t="shared" si="0"/>
        <v>0</v>
      </c>
      <c r="Q61" s="229">
        <f>ROUNDDOWN(W61,1)</f>
        <v>5</v>
      </c>
      <c r="R61" s="422"/>
      <c r="S61" s="397">
        <f>IF(採点Q3!D8="対象外",0,採点Q3!D8)</f>
        <v>5</v>
      </c>
      <c r="T61" s="532">
        <f>重み!D61</f>
        <v>0.3</v>
      </c>
      <c r="U61" s="396"/>
      <c r="V61" s="301">
        <f>重み!E61</f>
        <v>0</v>
      </c>
      <c r="W61" s="299">
        <f>IF(U61=0,S61,IF(S61=0,U61,S61*Y$6+U61*AA$6))</f>
        <v>5</v>
      </c>
      <c r="X61" s="422"/>
      <c r="Y61" s="394">
        <f>重み!M61</f>
        <v>0.3</v>
      </c>
      <c r="AA61" s="394">
        <f>重み!N61</f>
        <v>0</v>
      </c>
    </row>
    <row r="62" spans="1:27" ht="13.8" thickBot="1">
      <c r="A62" s="40"/>
      <c r="B62" s="208">
        <v>2</v>
      </c>
      <c r="C62" s="196" t="s">
        <v>358</v>
      </c>
      <c r="D62" s="186"/>
      <c r="E62" s="186"/>
      <c r="F62" s="199"/>
      <c r="G62" s="199"/>
      <c r="H62" s="1001"/>
      <c r="I62" s="1002"/>
      <c r="J62" s="1002"/>
      <c r="K62" s="1002"/>
      <c r="L62" s="1003"/>
      <c r="M62" s="236">
        <f t="shared" si="18"/>
        <v>2.2999999999999998</v>
      </c>
      <c r="N62" s="246">
        <f t="shared" si="19"/>
        <v>0.3</v>
      </c>
      <c r="O62" s="236">
        <f t="shared" si="17"/>
        <v>0</v>
      </c>
      <c r="P62" s="246">
        <f t="shared" si="0"/>
        <v>0</v>
      </c>
      <c r="Q62" s="238">
        <f>ROUNDDOWN(W62,1)</f>
        <v>2.2999999999999998</v>
      </c>
      <c r="R62" s="422"/>
      <c r="S62" s="298">
        <f>SUMPRODUCT(S63:S64,T63:T64)</f>
        <v>2.3499999999999996</v>
      </c>
      <c r="T62" s="532">
        <f>重み!D62</f>
        <v>0.3</v>
      </c>
      <c r="U62" s="396"/>
      <c r="V62" s="301">
        <f>重み!E62</f>
        <v>0</v>
      </c>
      <c r="W62" s="299">
        <f>IF(U62=0,S62,IF(S62=0,U62,S62*Y$6+U62*AA$6))</f>
        <v>2.3499999999999996</v>
      </c>
      <c r="X62" s="422"/>
      <c r="Y62" s="394">
        <f>重み!M62</f>
        <v>0.3</v>
      </c>
      <c r="AA62" s="394">
        <f>重み!N62</f>
        <v>0</v>
      </c>
    </row>
    <row r="63" spans="1:27" ht="13.2">
      <c r="A63" s="40"/>
      <c r="B63" s="534"/>
      <c r="C63" s="193">
        <v>2.1</v>
      </c>
      <c r="D63" s="557" t="s">
        <v>527</v>
      </c>
      <c r="E63" s="189"/>
      <c r="F63" s="201"/>
      <c r="G63" s="201"/>
      <c r="H63" s="2904">
        <f>採点Q3!H42</f>
        <v>0</v>
      </c>
      <c r="I63" s="2905"/>
      <c r="J63" s="2905"/>
      <c r="K63" s="2905"/>
      <c r="L63" s="2905"/>
      <c r="M63" s="573">
        <f t="shared" si="18"/>
        <v>2</v>
      </c>
      <c r="N63" s="244">
        <f t="shared" si="19"/>
        <v>0.65</v>
      </c>
      <c r="O63" s="573">
        <f t="shared" si="17"/>
        <v>0</v>
      </c>
      <c r="P63" s="244">
        <f t="shared" si="0"/>
        <v>0</v>
      </c>
      <c r="Q63" s="229"/>
      <c r="R63" s="422"/>
      <c r="S63" s="397">
        <f>IF(採点Q3!D35="対象外",0,採点Q3!D35)</f>
        <v>2</v>
      </c>
      <c r="T63" s="532">
        <f>重み!D63</f>
        <v>0.65</v>
      </c>
      <c r="U63" s="396"/>
      <c r="V63" s="301">
        <f>重み!E63</f>
        <v>0</v>
      </c>
      <c r="W63" s="299"/>
      <c r="X63" s="422"/>
      <c r="Y63" s="394">
        <f>重み!M63</f>
        <v>0.65</v>
      </c>
      <c r="AA63" s="394">
        <f>重み!N63</f>
        <v>0</v>
      </c>
    </row>
    <row r="64" spans="1:27" ht="13.2">
      <c r="A64" s="40"/>
      <c r="B64" s="218"/>
      <c r="C64" s="195">
        <v>2.2000000000000002</v>
      </c>
      <c r="D64" s="555" t="s">
        <v>528</v>
      </c>
      <c r="E64" s="186"/>
      <c r="F64" s="199"/>
      <c r="G64" s="199"/>
      <c r="H64" s="2904">
        <f>採点Q3!H62</f>
        <v>0</v>
      </c>
      <c r="I64" s="2905"/>
      <c r="J64" s="2905"/>
      <c r="K64" s="2905"/>
      <c r="L64" s="2905"/>
      <c r="M64" s="250">
        <f t="shared" si="18"/>
        <v>3</v>
      </c>
      <c r="N64" s="244">
        <f t="shared" si="19"/>
        <v>0.35</v>
      </c>
      <c r="O64" s="250">
        <f t="shared" si="17"/>
        <v>0</v>
      </c>
      <c r="P64" s="244">
        <f t="shared" si="0"/>
        <v>0</v>
      </c>
      <c r="Q64" s="229"/>
      <c r="R64" s="422"/>
      <c r="S64" s="397">
        <f>IF(採点Q3!D46="対象外",0,採点Q3!D46)</f>
        <v>3</v>
      </c>
      <c r="T64" s="532">
        <f>重み!D64</f>
        <v>0.35</v>
      </c>
      <c r="U64" s="396"/>
      <c r="V64" s="301">
        <f>重み!E64</f>
        <v>0</v>
      </c>
      <c r="W64" s="299"/>
      <c r="X64" s="422"/>
      <c r="Y64" s="394">
        <f>重み!M64</f>
        <v>0.35</v>
      </c>
      <c r="AA64" s="394">
        <f>重み!N64</f>
        <v>0</v>
      </c>
    </row>
    <row r="65" spans="1:27" ht="13.2">
      <c r="A65" s="40"/>
      <c r="B65" s="207">
        <v>3</v>
      </c>
      <c r="C65" s="196" t="s">
        <v>526</v>
      </c>
      <c r="D65" s="186"/>
      <c r="E65" s="186"/>
      <c r="F65" s="199"/>
      <c r="G65" s="199"/>
      <c r="H65" s="2921">
        <f>採点Q3!H83</f>
        <v>0</v>
      </c>
      <c r="I65" s="2922"/>
      <c r="J65" s="2922"/>
      <c r="K65" s="2922"/>
      <c r="L65" s="2922"/>
      <c r="M65" s="577">
        <f t="shared" si="18"/>
        <v>5</v>
      </c>
      <c r="N65" s="576">
        <f>T65</f>
        <v>0.2</v>
      </c>
      <c r="O65" s="577">
        <f t="shared" si="17"/>
        <v>0</v>
      </c>
      <c r="P65" s="576">
        <f t="shared" si="0"/>
        <v>0</v>
      </c>
      <c r="Q65" s="238">
        <f>ROUNDDOWN(W65,1)</f>
        <v>5</v>
      </c>
      <c r="R65" s="422"/>
      <c r="S65" s="397">
        <f>IF(採点Q3!D66="対象外",0,採点Q3!D66)</f>
        <v>5</v>
      </c>
      <c r="T65" s="532">
        <f>重み!D65</f>
        <v>0.2</v>
      </c>
      <c r="U65" s="396"/>
      <c r="V65" s="301">
        <f>重み!E65</f>
        <v>0</v>
      </c>
      <c r="W65" s="299">
        <f>IF(U65=0,S65,IF(S65=0,U65,S65*Y$6+U65*AA$6))</f>
        <v>5</v>
      </c>
      <c r="X65" s="422"/>
      <c r="Y65" s="394">
        <f>重み!M65</f>
        <v>0.2</v>
      </c>
      <c r="AA65" s="394">
        <f>重み!N65</f>
        <v>0</v>
      </c>
    </row>
    <row r="66" spans="1:27" ht="13.8" thickBot="1">
      <c r="A66" s="40"/>
      <c r="B66" s="419">
        <v>4</v>
      </c>
      <c r="C66" s="2618" t="str">
        <f>重み!C66</f>
        <v>地域の資源の活用と住文化の継承</v>
      </c>
      <c r="D66" s="408"/>
      <c r="E66" s="558"/>
      <c r="F66" s="420"/>
      <c r="G66" s="420"/>
      <c r="H66" s="2904">
        <f>採点Q3!H119</f>
        <v>0</v>
      </c>
      <c r="I66" s="2905"/>
      <c r="J66" s="2905"/>
      <c r="K66" s="2905"/>
      <c r="L66" s="2905"/>
      <c r="M66" s="235">
        <f t="shared" si="18"/>
        <v>3</v>
      </c>
      <c r="N66" s="406">
        <f t="shared" si="19"/>
        <v>0.2</v>
      </c>
      <c r="O66" s="235">
        <f t="shared" si="17"/>
        <v>0</v>
      </c>
      <c r="P66" s="406">
        <f t="shared" si="0"/>
        <v>0</v>
      </c>
      <c r="Q66" s="238">
        <f>ROUNDDOWN(W66,1)</f>
        <v>3</v>
      </c>
      <c r="R66" s="422"/>
      <c r="S66" s="397">
        <f>IF(採点Q3!D87="対象外",0,採点Q3!D87)</f>
        <v>3</v>
      </c>
      <c r="T66" s="532">
        <f>重み!D66</f>
        <v>0.2</v>
      </c>
      <c r="U66" s="396"/>
      <c r="V66" s="301">
        <f>重み!E66</f>
        <v>0</v>
      </c>
      <c r="W66" s="299">
        <f>IF(U66=0,S66,IF(S66=0,U66,S66*Y$6+U66*AA$6))</f>
        <v>3</v>
      </c>
      <c r="X66" s="422"/>
      <c r="Y66" s="394">
        <f>重み!M66</f>
        <v>0.2</v>
      </c>
      <c r="AA66" s="394">
        <f>重み!N66</f>
        <v>0</v>
      </c>
    </row>
    <row r="67" spans="1:27" ht="18.600000000000001" thickBot="1">
      <c r="A67" s="40"/>
      <c r="B67" s="211" t="s">
        <v>706</v>
      </c>
      <c r="C67" s="212"/>
      <c r="D67" s="559"/>
      <c r="E67" s="559"/>
      <c r="F67" s="213"/>
      <c r="G67" s="213"/>
      <c r="H67" s="1012"/>
      <c r="I67" s="1013"/>
      <c r="J67" s="1013"/>
      <c r="K67" s="1013"/>
      <c r="L67" s="1014"/>
      <c r="M67" s="567">
        <f>ROUNDDOWN(S67,1)</f>
        <v>0</v>
      </c>
      <c r="N67" s="247">
        <f t="shared" si="19"/>
        <v>0</v>
      </c>
      <c r="O67" s="567">
        <f t="shared" si="17"/>
        <v>0</v>
      </c>
      <c r="P67" s="247">
        <f t="shared" si="0"/>
        <v>0</v>
      </c>
      <c r="Q67" s="899">
        <f>ROUNDDOWN(W67,1)</f>
        <v>3.9</v>
      </c>
      <c r="R67" s="422"/>
      <c r="S67" s="398"/>
      <c r="T67" s="532">
        <f>重み!D67</f>
        <v>0</v>
      </c>
      <c r="U67" s="396"/>
      <c r="V67" s="301">
        <f>重み!E67</f>
        <v>0</v>
      </c>
      <c r="W67" s="299">
        <f>T68*W68+T79*W79+T96*W96</f>
        <v>3.9048749999999997</v>
      </c>
      <c r="X67" s="422"/>
      <c r="Y67" s="394">
        <f>重み!M67</f>
        <v>0</v>
      </c>
      <c r="AA67" s="394">
        <f>重み!N67</f>
        <v>0</v>
      </c>
    </row>
    <row r="68" spans="1:27" ht="16.2" thickBot="1">
      <c r="A68" s="40"/>
      <c r="B68" s="214" t="s">
        <v>707</v>
      </c>
      <c r="C68" s="177" t="s">
        <v>819</v>
      </c>
      <c r="D68" s="548"/>
      <c r="E68" s="548"/>
      <c r="F68" s="215"/>
      <c r="G68" s="215"/>
      <c r="H68" s="1015"/>
      <c r="I68" s="1016"/>
      <c r="J68" s="1016"/>
      <c r="K68" s="1016"/>
      <c r="L68" s="1017"/>
      <c r="M68" s="568">
        <f>ROUNDDOWN(S68,1)</f>
        <v>0</v>
      </c>
      <c r="N68" s="167">
        <f t="shared" si="19"/>
        <v>0.35</v>
      </c>
      <c r="O68" s="568">
        <f t="shared" si="17"/>
        <v>0</v>
      </c>
      <c r="P68" s="167">
        <f t="shared" si="0"/>
        <v>0</v>
      </c>
      <c r="Q68" s="168">
        <f>ROUNDDOWN(W68,1)</f>
        <v>3.9</v>
      </c>
      <c r="R68" s="422"/>
      <c r="S68" s="398"/>
      <c r="T68" s="531">
        <f>重み!D68</f>
        <v>0.35</v>
      </c>
      <c r="U68" s="396"/>
      <c r="V68" s="301">
        <f>重み!E68</f>
        <v>0</v>
      </c>
      <c r="W68" s="2489">
        <f>W69*T69+W73*T73+W76*T76</f>
        <v>3.9624999999999999</v>
      </c>
      <c r="X68" s="422"/>
      <c r="Y68" s="394">
        <f>重み!M68</f>
        <v>0.35</v>
      </c>
      <c r="AA68" s="394">
        <f>重み!N68</f>
        <v>0</v>
      </c>
    </row>
    <row r="69" spans="1:27" ht="13.8" thickBot="1">
      <c r="A69" s="40"/>
      <c r="B69" s="179">
        <v>1</v>
      </c>
      <c r="C69" s="180" t="s">
        <v>633</v>
      </c>
      <c r="D69" s="549"/>
      <c r="E69" s="549"/>
      <c r="F69" s="259"/>
      <c r="G69" s="259"/>
      <c r="H69" s="1001"/>
      <c r="I69" s="1002"/>
      <c r="J69" s="1002"/>
      <c r="K69" s="1002"/>
      <c r="L69" s="1003"/>
      <c r="M69" s="236">
        <f t="shared" si="18"/>
        <v>4</v>
      </c>
      <c r="N69" s="569">
        <f t="shared" si="19"/>
        <v>0.75</v>
      </c>
      <c r="O69" s="236">
        <f t="shared" si="17"/>
        <v>0</v>
      </c>
      <c r="P69" s="569">
        <f t="shared" si="0"/>
        <v>0</v>
      </c>
      <c r="Q69" s="570">
        <f>ROUNDDOWN(W69,1)</f>
        <v>4</v>
      </c>
      <c r="R69" s="422"/>
      <c r="S69" s="298">
        <f>S70*T70+S71*T71+S72*T72</f>
        <v>4</v>
      </c>
      <c r="T69" s="532">
        <f>重み!D69</f>
        <v>0.75</v>
      </c>
      <c r="U69" s="396"/>
      <c r="V69" s="301">
        <f>重み!E69</f>
        <v>0</v>
      </c>
      <c r="W69" s="299">
        <f>IF(U69=0,S69,S69*Y$6+U69*AA$6)</f>
        <v>4</v>
      </c>
      <c r="X69" s="422"/>
      <c r="Y69" s="394">
        <f>重み!M69</f>
        <v>0.75</v>
      </c>
      <c r="AA69" s="394">
        <f>重み!N69</f>
        <v>0</v>
      </c>
    </row>
    <row r="70" spans="1:27" ht="13.2">
      <c r="A70" s="40"/>
      <c r="B70" s="179"/>
      <c r="C70" s="193">
        <v>1.1000000000000001</v>
      </c>
      <c r="D70" s="555" t="s">
        <v>626</v>
      </c>
      <c r="E70" s="555"/>
      <c r="F70" s="216"/>
      <c r="G70" s="216"/>
      <c r="H70" s="2904">
        <f>採点LR1!H46</f>
        <v>0</v>
      </c>
      <c r="I70" s="2905"/>
      <c r="J70" s="2905"/>
      <c r="K70" s="2905"/>
      <c r="L70" s="2905"/>
      <c r="M70" s="573">
        <f t="shared" si="18"/>
        <v>5</v>
      </c>
      <c r="N70" s="244">
        <f>T70</f>
        <v>0.45</v>
      </c>
      <c r="O70" s="573">
        <f t="shared" si="17"/>
        <v>0</v>
      </c>
      <c r="P70" s="244"/>
      <c r="Q70" s="229"/>
      <c r="R70" s="422"/>
      <c r="S70" s="397">
        <f>IF(採点LR1!D8="対象外",0,採点LR1!D8)</f>
        <v>5</v>
      </c>
      <c r="T70" s="532">
        <f>重み!D70</f>
        <v>0.45</v>
      </c>
      <c r="U70" s="396"/>
      <c r="V70" s="301">
        <f>重み!E70</f>
        <v>0</v>
      </c>
      <c r="W70" s="299"/>
      <c r="X70" s="422"/>
      <c r="Y70" s="394">
        <f>重み!M70</f>
        <v>0.45</v>
      </c>
      <c r="AA70" s="394">
        <f>重み!N70</f>
        <v>0</v>
      </c>
    </row>
    <row r="71" spans="1:27" ht="13.2">
      <c r="A71" s="40"/>
      <c r="B71" s="179"/>
      <c r="C71" s="195">
        <v>1.2</v>
      </c>
      <c r="D71" s="555" t="str">
        <f>重み!C71</f>
        <v>太陽光発電設備の導入</v>
      </c>
      <c r="E71" s="186"/>
      <c r="F71" s="199"/>
      <c r="G71" s="216"/>
      <c r="H71" s="2904">
        <f>採点LR1!H66</f>
        <v>0</v>
      </c>
      <c r="I71" s="2905"/>
      <c r="J71" s="2905"/>
      <c r="K71" s="2905"/>
      <c r="L71" s="2905"/>
      <c r="M71" s="2158">
        <f t="shared" si="18"/>
        <v>3</v>
      </c>
      <c r="N71" s="244">
        <f>T71</f>
        <v>0.45</v>
      </c>
      <c r="O71" s="2158"/>
      <c r="P71" s="244"/>
      <c r="Q71" s="229"/>
      <c r="R71" s="422"/>
      <c r="S71" s="397">
        <f>IF(採点LR1!D50="対象外",0,採点LR1!D50)</f>
        <v>3</v>
      </c>
      <c r="T71" s="532">
        <f>重み!D71</f>
        <v>0.45</v>
      </c>
      <c r="U71" s="396"/>
      <c r="V71" s="301">
        <f>重み!E71</f>
        <v>0</v>
      </c>
      <c r="W71" s="299"/>
      <c r="X71" s="422"/>
      <c r="Y71" s="394">
        <f>重み!M71</f>
        <v>0.45</v>
      </c>
      <c r="AA71" s="394">
        <f>重み!N71</f>
        <v>0</v>
      </c>
    </row>
    <row r="72" spans="1:27" ht="13.8" thickBot="1">
      <c r="A72" s="40"/>
      <c r="B72" s="219"/>
      <c r="C72" s="195">
        <v>1.3</v>
      </c>
      <c r="D72" s="555" t="s">
        <v>629</v>
      </c>
      <c r="E72" s="186"/>
      <c r="F72" s="199"/>
      <c r="G72" s="199"/>
      <c r="H72" s="2904">
        <f>採点LR1!H98</f>
        <v>0</v>
      </c>
      <c r="I72" s="2905"/>
      <c r="J72" s="2905"/>
      <c r="K72" s="2905"/>
      <c r="L72" s="2905"/>
      <c r="M72" s="235">
        <f t="shared" si="18"/>
        <v>4</v>
      </c>
      <c r="N72" s="244">
        <f t="shared" si="19"/>
        <v>0.1</v>
      </c>
      <c r="O72" s="250">
        <f t="shared" si="17"/>
        <v>0</v>
      </c>
      <c r="P72" s="244">
        <f t="shared" ref="P72:P79" si="29">V72</f>
        <v>0</v>
      </c>
      <c r="Q72" s="229"/>
      <c r="R72" s="422"/>
      <c r="S72" s="397">
        <f>IF(採点LR1!D70="対象外",0,採点LR1!D70)</f>
        <v>4</v>
      </c>
      <c r="T72" s="532">
        <f>重み!D72</f>
        <v>0.1</v>
      </c>
      <c r="U72" s="396"/>
      <c r="V72" s="301">
        <f>重み!E72</f>
        <v>0</v>
      </c>
      <c r="W72" s="299"/>
      <c r="X72" s="422"/>
      <c r="Y72" s="394">
        <f>重み!M72</f>
        <v>0.1</v>
      </c>
      <c r="AA72" s="394">
        <f>重み!N72</f>
        <v>0</v>
      </c>
    </row>
    <row r="73" spans="1:27" ht="13.8" thickBot="1">
      <c r="A73" s="40"/>
      <c r="B73" s="217">
        <v>2</v>
      </c>
      <c r="C73" s="196" t="s">
        <v>529</v>
      </c>
      <c r="D73" s="555"/>
      <c r="E73" s="555"/>
      <c r="F73" s="216"/>
      <c r="G73" s="216"/>
      <c r="H73" s="1001"/>
      <c r="I73" s="1002"/>
      <c r="J73" s="1002"/>
      <c r="K73" s="1002"/>
      <c r="L73" s="1003"/>
      <c r="M73" s="227">
        <f t="shared" si="18"/>
        <v>3.7</v>
      </c>
      <c r="N73" s="237">
        <f t="shared" si="19"/>
        <v>0.15</v>
      </c>
      <c r="O73" s="227">
        <f t="shared" si="17"/>
        <v>0</v>
      </c>
      <c r="P73" s="237">
        <f t="shared" si="29"/>
        <v>0</v>
      </c>
      <c r="Q73" s="238">
        <f>ROUNDDOWN(W73,1)</f>
        <v>3.7</v>
      </c>
      <c r="R73" s="422"/>
      <c r="S73" s="298">
        <f>S74*T74+S75*T75</f>
        <v>3.75</v>
      </c>
      <c r="T73" s="532">
        <f>重み!D73</f>
        <v>0.15</v>
      </c>
      <c r="U73" s="396"/>
      <c r="V73" s="301">
        <f>重み!E73</f>
        <v>0</v>
      </c>
      <c r="W73" s="299">
        <f>IF(U73=0,S73,S73*Y$6+U73*AA$6)</f>
        <v>3.75</v>
      </c>
      <c r="X73" s="422"/>
      <c r="Y73" s="394">
        <f>重み!M73</f>
        <v>0.15</v>
      </c>
      <c r="AA73" s="394">
        <f>重み!N73</f>
        <v>0</v>
      </c>
    </row>
    <row r="74" spans="1:27" ht="13.2">
      <c r="A74" s="40"/>
      <c r="B74" s="219"/>
      <c r="C74" s="195">
        <v>2.1</v>
      </c>
      <c r="D74" s="555" t="s">
        <v>530</v>
      </c>
      <c r="E74" s="186"/>
      <c r="F74" s="199"/>
      <c r="G74" s="199"/>
      <c r="H74" s="2904">
        <f>採点LR1!H116</f>
        <v>0</v>
      </c>
      <c r="I74" s="2905"/>
      <c r="J74" s="2905"/>
      <c r="K74" s="2905"/>
      <c r="L74" s="2905"/>
      <c r="M74" s="573">
        <f t="shared" si="18"/>
        <v>4</v>
      </c>
      <c r="N74" s="244">
        <f t="shared" si="19"/>
        <v>0.75</v>
      </c>
      <c r="O74" s="573">
        <f t="shared" si="17"/>
        <v>0</v>
      </c>
      <c r="P74" s="244">
        <f t="shared" si="29"/>
        <v>0</v>
      </c>
      <c r="Q74" s="229"/>
      <c r="R74" s="422"/>
      <c r="S74" s="397">
        <f>IF(採点LR1!D103="対象外",0,採点LR1!D103)</f>
        <v>4</v>
      </c>
      <c r="T74" s="532">
        <f>重み!D74</f>
        <v>0.75</v>
      </c>
      <c r="U74" s="396"/>
      <c r="V74" s="301">
        <f>重み!E74</f>
        <v>0</v>
      </c>
      <c r="W74" s="299"/>
      <c r="X74" s="422"/>
      <c r="Y74" s="394">
        <f>重み!M74</f>
        <v>0.75</v>
      </c>
      <c r="AA74" s="394">
        <f>重み!N74</f>
        <v>0</v>
      </c>
    </row>
    <row r="75" spans="1:27" ht="13.8" thickBot="1">
      <c r="A75" s="40"/>
      <c r="B75" s="219"/>
      <c r="C75" s="195">
        <v>2.2000000000000002</v>
      </c>
      <c r="D75" s="555" t="s">
        <v>532</v>
      </c>
      <c r="E75" s="186"/>
      <c r="F75" s="199"/>
      <c r="G75" s="199"/>
      <c r="H75" s="2904">
        <f>採点LR1!H127</f>
        <v>0</v>
      </c>
      <c r="I75" s="2905"/>
      <c r="J75" s="2905"/>
      <c r="K75" s="2905"/>
      <c r="L75" s="2905"/>
      <c r="M75" s="235">
        <f t="shared" si="18"/>
        <v>3</v>
      </c>
      <c r="N75" s="244">
        <f t="shared" si="19"/>
        <v>0.25</v>
      </c>
      <c r="O75" s="235">
        <f t="shared" si="17"/>
        <v>0</v>
      </c>
      <c r="P75" s="244">
        <f t="shared" si="29"/>
        <v>0</v>
      </c>
      <c r="Q75" s="229"/>
      <c r="R75" s="422"/>
      <c r="S75" s="397">
        <f>IF(採点LR1!D120="対象外",0,採点LR1!D120)</f>
        <v>3</v>
      </c>
      <c r="T75" s="532">
        <f>重み!D75</f>
        <v>0.25</v>
      </c>
      <c r="U75" s="396"/>
      <c r="V75" s="301">
        <f>重み!E75</f>
        <v>0</v>
      </c>
      <c r="W75" s="299"/>
      <c r="X75" s="422"/>
      <c r="Y75" s="394">
        <f>重み!M75</f>
        <v>0.25</v>
      </c>
      <c r="AA75" s="394">
        <f>重み!N75</f>
        <v>0</v>
      </c>
    </row>
    <row r="76" spans="1:27" ht="13.8" thickBot="1">
      <c r="A76" s="40"/>
      <c r="B76" s="217">
        <v>3</v>
      </c>
      <c r="C76" s="181" t="s">
        <v>534</v>
      </c>
      <c r="D76" s="549"/>
      <c r="E76" s="549"/>
      <c r="F76" s="182"/>
      <c r="G76" s="182"/>
      <c r="H76" s="1001"/>
      <c r="I76" s="1002"/>
      <c r="J76" s="1002"/>
      <c r="K76" s="1002"/>
      <c r="L76" s="1003"/>
      <c r="M76" s="400">
        <f t="shared" si="18"/>
        <v>4</v>
      </c>
      <c r="N76" s="237">
        <f t="shared" si="19"/>
        <v>0.1</v>
      </c>
      <c r="O76" s="400">
        <f t="shared" si="17"/>
        <v>0</v>
      </c>
      <c r="P76" s="237">
        <f t="shared" si="29"/>
        <v>0</v>
      </c>
      <c r="Q76" s="238">
        <f>ROUNDDOWN(W76,1)</f>
        <v>4</v>
      </c>
      <c r="R76" s="422"/>
      <c r="S76" s="298">
        <f>S77*T77+S78*T78</f>
        <v>4</v>
      </c>
      <c r="T76" s="532">
        <f>重み!D76</f>
        <v>0.1</v>
      </c>
      <c r="U76" s="396"/>
      <c r="V76" s="301">
        <f>重み!E76</f>
        <v>0</v>
      </c>
      <c r="W76" s="299">
        <f>IF(U76=0,S76,S76*Y$6+U76*AA$6)</f>
        <v>4</v>
      </c>
      <c r="X76" s="422"/>
      <c r="Y76" s="394">
        <f>重み!M76</f>
        <v>0.1</v>
      </c>
      <c r="AA76" s="394">
        <f>重み!N76</f>
        <v>0</v>
      </c>
    </row>
    <row r="77" spans="1:27" ht="13.2">
      <c r="A77" s="40"/>
      <c r="B77" s="220"/>
      <c r="C77" s="195">
        <v>3.1</v>
      </c>
      <c r="D77" s="555" t="s">
        <v>48</v>
      </c>
      <c r="E77" s="186"/>
      <c r="F77" s="199"/>
      <c r="G77" s="199"/>
      <c r="H77" s="2904">
        <f>採点LR1!H139</f>
        <v>0</v>
      </c>
      <c r="I77" s="2905"/>
      <c r="J77" s="2905"/>
      <c r="K77" s="2905"/>
      <c r="L77" s="2905"/>
      <c r="M77" s="573">
        <f t="shared" si="18"/>
        <v>5</v>
      </c>
      <c r="N77" s="244">
        <f t="shared" si="19"/>
        <v>0.5</v>
      </c>
      <c r="O77" s="573">
        <f t="shared" si="17"/>
        <v>0</v>
      </c>
      <c r="P77" s="244">
        <f t="shared" si="29"/>
        <v>0</v>
      </c>
      <c r="Q77" s="229"/>
      <c r="R77" s="422"/>
      <c r="S77" s="397">
        <f>IF(採点LR1!D132="対象外",0,採点LR1!D132)</f>
        <v>5</v>
      </c>
      <c r="T77" s="532">
        <f>重み!D77</f>
        <v>0.5</v>
      </c>
      <c r="U77" s="396"/>
      <c r="V77" s="301">
        <f>重み!E77</f>
        <v>0</v>
      </c>
      <c r="W77" s="299"/>
      <c r="X77" s="422"/>
      <c r="Y77" s="394">
        <f>重み!M77</f>
        <v>0.5</v>
      </c>
      <c r="AA77" s="394">
        <f>重み!N77</f>
        <v>0</v>
      </c>
    </row>
    <row r="78" spans="1:27" ht="13.8" thickBot="1">
      <c r="A78" s="40"/>
      <c r="B78" s="221"/>
      <c r="C78" s="222">
        <v>3.2</v>
      </c>
      <c r="D78" s="561" t="s">
        <v>533</v>
      </c>
      <c r="E78" s="258"/>
      <c r="F78" s="223"/>
      <c r="G78" s="223"/>
      <c r="H78" s="2904">
        <f>採点LR1!H150</f>
        <v>0</v>
      </c>
      <c r="I78" s="2905"/>
      <c r="J78" s="2905"/>
      <c r="K78" s="2905"/>
      <c r="L78" s="2905"/>
      <c r="M78" s="235">
        <f t="shared" si="18"/>
        <v>3</v>
      </c>
      <c r="N78" s="244">
        <f t="shared" si="19"/>
        <v>0.5</v>
      </c>
      <c r="O78" s="235">
        <f t="shared" si="17"/>
        <v>0</v>
      </c>
      <c r="P78" s="244">
        <f t="shared" si="29"/>
        <v>0</v>
      </c>
      <c r="Q78" s="240"/>
      <c r="R78" s="422"/>
      <c r="S78" s="397">
        <f>IF(採点LR1!D143="対象外",0,採点LR1!D143)</f>
        <v>3</v>
      </c>
      <c r="T78" s="532">
        <f>重み!D78</f>
        <v>0.5</v>
      </c>
      <c r="U78" s="396"/>
      <c r="V78" s="301">
        <f>重み!E78</f>
        <v>0</v>
      </c>
      <c r="W78" s="299"/>
      <c r="X78" s="422"/>
      <c r="Y78" s="394">
        <f>重み!M78</f>
        <v>0.5</v>
      </c>
      <c r="AA78" s="394">
        <f>重み!N78</f>
        <v>0</v>
      </c>
    </row>
    <row r="79" spans="1:27" ht="16.2" thickBot="1">
      <c r="A79" s="40"/>
      <c r="B79" s="202" t="s">
        <v>708</v>
      </c>
      <c r="C79" s="205" t="s">
        <v>346</v>
      </c>
      <c r="D79" s="556"/>
      <c r="E79" s="556"/>
      <c r="F79" s="206"/>
      <c r="G79" s="206"/>
      <c r="H79" s="1004"/>
      <c r="I79" s="1005"/>
      <c r="J79" s="1005"/>
      <c r="K79" s="1005"/>
      <c r="L79" s="1006"/>
      <c r="M79" s="334">
        <f t="shared" si="18"/>
        <v>0</v>
      </c>
      <c r="N79" s="241">
        <f>T79</f>
        <v>0.35</v>
      </c>
      <c r="O79" s="334">
        <f t="shared" si="17"/>
        <v>0</v>
      </c>
      <c r="P79" s="241">
        <f t="shared" si="29"/>
        <v>0</v>
      </c>
      <c r="Q79" s="242">
        <f>ROUNDDOWN(W79,1)</f>
        <v>3.4</v>
      </c>
      <c r="R79" s="422"/>
      <c r="S79" s="398"/>
      <c r="T79" s="531">
        <f>重み!D79</f>
        <v>0.35</v>
      </c>
      <c r="U79" s="396"/>
      <c r="V79" s="301">
        <f>重み!E79</f>
        <v>0</v>
      </c>
      <c r="W79" s="299">
        <f>W80*T80+W89*T89+T93*W93</f>
        <v>3.4800000000000009</v>
      </c>
      <c r="X79" s="422"/>
      <c r="Y79" s="394">
        <f>重み!M79</f>
        <v>0.35</v>
      </c>
      <c r="AA79" s="394">
        <f>重み!N79</f>
        <v>0</v>
      </c>
    </row>
    <row r="80" spans="1:27" ht="13.2">
      <c r="A80" s="40"/>
      <c r="B80" s="261">
        <v>1</v>
      </c>
      <c r="C80" s="181" t="s">
        <v>347</v>
      </c>
      <c r="D80" s="549"/>
      <c r="E80" s="549"/>
      <c r="F80" s="182"/>
      <c r="G80" s="182"/>
      <c r="H80" s="1020"/>
      <c r="I80" s="1009"/>
      <c r="J80" s="1009"/>
      <c r="K80" s="1009"/>
      <c r="L80" s="1021"/>
      <c r="M80" s="257">
        <f t="shared" si="18"/>
        <v>3.8</v>
      </c>
      <c r="N80" s="578">
        <f t="shared" si="19"/>
        <v>0.60000000000000009</v>
      </c>
      <c r="O80" s="257">
        <f t="shared" si="17"/>
        <v>0</v>
      </c>
      <c r="P80" s="578">
        <f t="shared" ref="P80:P95" si="30">V80</f>
        <v>0</v>
      </c>
      <c r="Q80" s="229">
        <f>ROUNDDOWN(W80,1)</f>
        <v>3.8</v>
      </c>
      <c r="R80" s="422"/>
      <c r="S80" s="298">
        <f>S81*T81+S85*T85+S86*T86+S87*T87+S88*T88</f>
        <v>3.8000000000000007</v>
      </c>
      <c r="T80" s="532">
        <f>重み!D80</f>
        <v>0.60000000000000009</v>
      </c>
      <c r="U80" s="396"/>
      <c r="V80" s="301">
        <f>重み!E80</f>
        <v>0</v>
      </c>
      <c r="W80" s="299">
        <f>IF(U80=0,S80,IF(S80=0,U80,S80*Y$6+U80*AA$6))</f>
        <v>3.8000000000000007</v>
      </c>
      <c r="X80" s="422"/>
      <c r="Y80" s="394">
        <f>重み!M80</f>
        <v>0.6</v>
      </c>
      <c r="AA80" s="394">
        <f>重み!N80</f>
        <v>0</v>
      </c>
    </row>
    <row r="81" spans="1:27" ht="13.8" thickBot="1">
      <c r="A81" s="40"/>
      <c r="B81" s="200"/>
      <c r="C81" s="184">
        <v>1.1000000000000001</v>
      </c>
      <c r="D81" s="186" t="s">
        <v>537</v>
      </c>
      <c r="E81" s="186"/>
      <c r="F81" s="199"/>
      <c r="G81" s="199"/>
      <c r="H81" s="1018"/>
      <c r="I81" s="1019"/>
      <c r="J81" s="1019"/>
      <c r="K81" s="1019"/>
      <c r="L81" s="1022"/>
      <c r="M81" s="227">
        <f t="shared" si="18"/>
        <v>5</v>
      </c>
      <c r="N81" s="244">
        <f t="shared" si="19"/>
        <v>0.30000000000000004</v>
      </c>
      <c r="O81" s="227">
        <f t="shared" si="17"/>
        <v>0</v>
      </c>
      <c r="P81" s="244">
        <f t="shared" si="30"/>
        <v>0</v>
      </c>
      <c r="Q81" s="231"/>
      <c r="R81" s="422"/>
      <c r="S81" s="298">
        <f>S82*T82+S83*T83+S84*T84</f>
        <v>5</v>
      </c>
      <c r="T81" s="532">
        <f>重み!D81</f>
        <v>0.30000000000000004</v>
      </c>
      <c r="U81" s="396"/>
      <c r="V81" s="301">
        <f>重み!E81</f>
        <v>0</v>
      </c>
      <c r="W81" s="299"/>
      <c r="X81" s="422"/>
      <c r="Y81" s="394">
        <f>重み!M81</f>
        <v>0.3</v>
      </c>
      <c r="AA81" s="394">
        <f>重み!N81</f>
        <v>0</v>
      </c>
    </row>
    <row r="82" spans="1:27" ht="13.2">
      <c r="A82" s="40"/>
      <c r="B82" s="200"/>
      <c r="C82" s="193"/>
      <c r="D82" s="550">
        <v>1</v>
      </c>
      <c r="E82" s="186" t="str">
        <f>重み!C82</f>
        <v>木質系住宅</v>
      </c>
      <c r="F82" s="199"/>
      <c r="G82" s="199"/>
      <c r="H82" s="2904">
        <f>採点LR2!H24</f>
        <v>0</v>
      </c>
      <c r="I82" s="2905"/>
      <c r="J82" s="2905"/>
      <c r="K82" s="2905"/>
      <c r="L82" s="2917"/>
      <c r="M82" s="543">
        <f t="shared" si="18"/>
        <v>5</v>
      </c>
      <c r="N82" s="244">
        <f t="shared" si="19"/>
        <v>1</v>
      </c>
      <c r="O82" s="543">
        <f t="shared" si="17"/>
        <v>0</v>
      </c>
      <c r="P82" s="244">
        <f t="shared" si="30"/>
        <v>0</v>
      </c>
      <c r="Q82" s="229"/>
      <c r="R82" s="422"/>
      <c r="S82" s="397">
        <f>IF(採点LR2!D11="対象外",0,採点LR2!D11)</f>
        <v>5</v>
      </c>
      <c r="T82" s="532">
        <f>重み!D82</f>
        <v>1</v>
      </c>
      <c r="U82" s="396"/>
      <c r="V82" s="301">
        <f>重み!E82</f>
        <v>0</v>
      </c>
      <c r="W82" s="299"/>
      <c r="X82" s="422"/>
      <c r="Y82" s="394">
        <f>重み!M82</f>
        <v>1</v>
      </c>
      <c r="AA82" s="394">
        <f>重み!N82</f>
        <v>0</v>
      </c>
    </row>
    <row r="83" spans="1:27" ht="13.2">
      <c r="A83" s="40"/>
      <c r="B83" s="200"/>
      <c r="C83" s="193"/>
      <c r="D83" s="550">
        <v>2</v>
      </c>
      <c r="E83" s="186" t="str">
        <f>重み!C83</f>
        <v>鉄骨系住宅</v>
      </c>
      <c r="F83" s="199"/>
      <c r="G83" s="199"/>
      <c r="H83" s="2904">
        <f>採点LR2!H39</f>
        <v>0</v>
      </c>
      <c r="I83" s="2905"/>
      <c r="J83" s="2905"/>
      <c r="K83" s="2905"/>
      <c r="L83" s="2905"/>
      <c r="M83" s="234">
        <f t="shared" si="18"/>
        <v>3</v>
      </c>
      <c r="N83" s="244">
        <f t="shared" si="19"/>
        <v>0</v>
      </c>
      <c r="O83" s="234">
        <f t="shared" si="17"/>
        <v>0</v>
      </c>
      <c r="P83" s="244">
        <f t="shared" si="30"/>
        <v>0</v>
      </c>
      <c r="Q83" s="229"/>
      <c r="R83" s="422"/>
      <c r="S83" s="397">
        <f>IF(採点LR2!D27="対象外",0,採点LR2!D27)</f>
        <v>3</v>
      </c>
      <c r="T83" s="532">
        <f>重み!D83</f>
        <v>0</v>
      </c>
      <c r="U83" s="396"/>
      <c r="V83" s="301">
        <f>重み!E83</f>
        <v>0</v>
      </c>
      <c r="W83" s="299"/>
      <c r="X83" s="422"/>
      <c r="Y83" s="394">
        <f>重み!M83</f>
        <v>0</v>
      </c>
      <c r="AA83" s="394">
        <f>重み!N83</f>
        <v>0</v>
      </c>
    </row>
    <row r="84" spans="1:27" ht="13.2">
      <c r="A84" s="40"/>
      <c r="B84" s="200"/>
      <c r="C84" s="193"/>
      <c r="D84" s="560">
        <v>3</v>
      </c>
      <c r="E84" s="186" t="str">
        <f>重み!C84</f>
        <v>コンクリート系住宅</v>
      </c>
      <c r="F84" s="198"/>
      <c r="G84" s="198"/>
      <c r="H84" s="2904">
        <f>採点LR2!H54</f>
        <v>0</v>
      </c>
      <c r="I84" s="2905"/>
      <c r="J84" s="2905"/>
      <c r="K84" s="2905"/>
      <c r="L84" s="2905"/>
      <c r="M84" s="234">
        <f t="shared" si="18"/>
        <v>3</v>
      </c>
      <c r="N84" s="244">
        <f t="shared" si="19"/>
        <v>0</v>
      </c>
      <c r="O84" s="234">
        <f t="shared" si="17"/>
        <v>0</v>
      </c>
      <c r="P84" s="244">
        <f t="shared" si="30"/>
        <v>0</v>
      </c>
      <c r="Q84" s="229"/>
      <c r="R84" s="422"/>
      <c r="S84" s="397">
        <f>IF(採点LR2!D42="対象外",0,採点LR2!D42)</f>
        <v>3</v>
      </c>
      <c r="T84" s="532">
        <f>重み!D84</f>
        <v>0</v>
      </c>
      <c r="U84" s="396"/>
      <c r="V84" s="301">
        <f>重み!E84</f>
        <v>0</v>
      </c>
      <c r="W84" s="299"/>
      <c r="X84" s="422"/>
      <c r="Y84" s="394">
        <f>重み!M84</f>
        <v>0</v>
      </c>
      <c r="AA84" s="394">
        <f>重み!N84</f>
        <v>0</v>
      </c>
    </row>
    <row r="85" spans="1:27" ht="13.2">
      <c r="A85" s="40"/>
      <c r="B85" s="200"/>
      <c r="C85" s="409">
        <v>1.2</v>
      </c>
      <c r="D85" s="186" t="s">
        <v>541</v>
      </c>
      <c r="E85" s="186"/>
      <c r="F85" s="199"/>
      <c r="G85" s="199"/>
      <c r="H85" s="2904">
        <f>採点LR2!H71</f>
        <v>0</v>
      </c>
      <c r="I85" s="2905"/>
      <c r="J85" s="2905"/>
      <c r="K85" s="2905"/>
      <c r="L85" s="2905"/>
      <c r="M85" s="250">
        <f t="shared" si="18"/>
        <v>3</v>
      </c>
      <c r="N85" s="244">
        <f t="shared" si="19"/>
        <v>0.20000000000000004</v>
      </c>
      <c r="O85" s="250">
        <f t="shared" si="17"/>
        <v>0</v>
      </c>
      <c r="P85" s="244">
        <f t="shared" si="30"/>
        <v>0</v>
      </c>
      <c r="Q85" s="229"/>
      <c r="R85" s="422"/>
      <c r="S85" s="397">
        <f>IF(採点LR2!D58="対象外",0,採点LR2!D58)</f>
        <v>3</v>
      </c>
      <c r="T85" s="532">
        <f>重み!D85</f>
        <v>0.20000000000000004</v>
      </c>
      <c r="U85" s="396"/>
      <c r="V85" s="301">
        <f>重み!E85</f>
        <v>0</v>
      </c>
      <c r="W85" s="299"/>
      <c r="X85" s="422"/>
      <c r="Y85" s="394">
        <f>重み!M85</f>
        <v>0.2</v>
      </c>
      <c r="AA85" s="394">
        <f>重み!N85</f>
        <v>0</v>
      </c>
    </row>
    <row r="86" spans="1:27" ht="13.2">
      <c r="A86" s="40"/>
      <c r="B86" s="200"/>
      <c r="C86" s="538">
        <v>1.3</v>
      </c>
      <c r="D86" s="186" t="s">
        <v>542</v>
      </c>
      <c r="E86" s="186"/>
      <c r="F86" s="199"/>
      <c r="G86" s="199"/>
      <c r="H86" s="2904">
        <f>採点LR2!H94</f>
        <v>0</v>
      </c>
      <c r="I86" s="2905"/>
      <c r="J86" s="2905"/>
      <c r="K86" s="2905"/>
      <c r="L86" s="2905"/>
      <c r="M86" s="250">
        <f t="shared" si="18"/>
        <v>4</v>
      </c>
      <c r="N86" s="244">
        <f t="shared" si="19"/>
        <v>0.20000000000000004</v>
      </c>
      <c r="O86" s="250">
        <f t="shared" si="17"/>
        <v>0</v>
      </c>
      <c r="P86" s="244">
        <f t="shared" si="30"/>
        <v>0</v>
      </c>
      <c r="Q86" s="229"/>
      <c r="R86" s="422"/>
      <c r="S86" s="397">
        <f>IF(採点LR2!D74="対象外",0,採点LR2!D74)</f>
        <v>4</v>
      </c>
      <c r="T86" s="532">
        <f>重み!D86</f>
        <v>0.20000000000000004</v>
      </c>
      <c r="U86" s="396"/>
      <c r="V86" s="301">
        <f>重み!E86</f>
        <v>0</v>
      </c>
      <c r="W86" s="299"/>
      <c r="X86" s="422"/>
      <c r="Y86" s="394">
        <f>重み!M86</f>
        <v>0.2</v>
      </c>
      <c r="AA86" s="394">
        <f>重み!N86</f>
        <v>0</v>
      </c>
    </row>
    <row r="87" spans="1:27" ht="13.2">
      <c r="A87" s="40"/>
      <c r="B87" s="200"/>
      <c r="C87" s="538">
        <v>1.4</v>
      </c>
      <c r="D87" s="186" t="s">
        <v>543</v>
      </c>
      <c r="E87" s="186"/>
      <c r="F87" s="199"/>
      <c r="G87" s="199"/>
      <c r="H87" s="2904">
        <f>採点LR2!H118</f>
        <v>0</v>
      </c>
      <c r="I87" s="2905"/>
      <c r="J87" s="2905"/>
      <c r="K87" s="2905"/>
      <c r="L87" s="2905"/>
      <c r="M87" s="250">
        <f t="shared" si="18"/>
        <v>3</v>
      </c>
      <c r="N87" s="244">
        <f t="shared" si="19"/>
        <v>0.20000000000000004</v>
      </c>
      <c r="O87" s="250">
        <f t="shared" si="17"/>
        <v>0</v>
      </c>
      <c r="P87" s="244">
        <f t="shared" si="30"/>
        <v>0</v>
      </c>
      <c r="Q87" s="229"/>
      <c r="R87" s="422"/>
      <c r="S87" s="397">
        <f>IF(採点LR2!D97="対象外",0,採点LR2!D97)</f>
        <v>3</v>
      </c>
      <c r="T87" s="532">
        <f>重み!D87</f>
        <v>0.20000000000000004</v>
      </c>
      <c r="U87" s="396"/>
      <c r="V87" s="301">
        <f>重み!E87</f>
        <v>0</v>
      </c>
      <c r="W87" s="299"/>
      <c r="X87" s="422"/>
      <c r="Y87" s="394">
        <f>重み!M87</f>
        <v>0.2</v>
      </c>
      <c r="AA87" s="394">
        <f>重み!N87</f>
        <v>0</v>
      </c>
    </row>
    <row r="88" spans="1:27" ht="13.8" thickBot="1">
      <c r="A88" s="40"/>
      <c r="B88" s="539"/>
      <c r="C88" s="538">
        <v>1.5</v>
      </c>
      <c r="D88" s="186" t="s">
        <v>544</v>
      </c>
      <c r="E88" s="186"/>
      <c r="F88" s="199"/>
      <c r="G88" s="199"/>
      <c r="H88" s="2904">
        <f>採点LR2!H135</f>
        <v>0</v>
      </c>
      <c r="I88" s="2905"/>
      <c r="J88" s="2905"/>
      <c r="K88" s="2905"/>
      <c r="L88" s="2905"/>
      <c r="M88" s="235">
        <f t="shared" si="18"/>
        <v>3</v>
      </c>
      <c r="N88" s="244">
        <f t="shared" si="19"/>
        <v>0.10000000000000002</v>
      </c>
      <c r="O88" s="235">
        <f t="shared" si="17"/>
        <v>0</v>
      </c>
      <c r="P88" s="244">
        <f t="shared" si="30"/>
        <v>0</v>
      </c>
      <c r="Q88" s="229"/>
      <c r="R88" s="422"/>
      <c r="S88" s="397">
        <f>IF(採点LR2!D122="対象外",0,採点LR2!D122)</f>
        <v>3</v>
      </c>
      <c r="T88" s="532">
        <f>重み!D88</f>
        <v>0.10000000000000002</v>
      </c>
      <c r="U88" s="396"/>
      <c r="V88" s="301">
        <f>重み!E88</f>
        <v>0</v>
      </c>
      <c r="W88" s="299"/>
      <c r="X88" s="422"/>
      <c r="Y88" s="394">
        <f>重み!M88</f>
        <v>0.1</v>
      </c>
      <c r="AA88" s="394">
        <f>重み!N88</f>
        <v>0</v>
      </c>
    </row>
    <row r="89" spans="1:27" ht="13.8" thickBot="1">
      <c r="A89" s="40"/>
      <c r="B89" s="218">
        <v>2</v>
      </c>
      <c r="C89" s="181" t="s">
        <v>1711</v>
      </c>
      <c r="D89" s="549"/>
      <c r="E89" s="549"/>
      <c r="F89" s="182"/>
      <c r="G89" s="182"/>
      <c r="H89" s="1001"/>
      <c r="I89" s="1002"/>
      <c r="J89" s="1002"/>
      <c r="K89" s="1002"/>
      <c r="L89" s="1003"/>
      <c r="M89" s="236">
        <f>ROUNDDOWN(S89,1)</f>
        <v>2.2999999999999998</v>
      </c>
      <c r="N89" s="237">
        <f t="shared" si="19"/>
        <v>0.30000000000000004</v>
      </c>
      <c r="O89" s="236">
        <f>ROUNDDOWN(U89,1)</f>
        <v>0</v>
      </c>
      <c r="P89" s="237">
        <f t="shared" si="30"/>
        <v>0</v>
      </c>
      <c r="Q89" s="238">
        <f>ROUNDDOWN(W89,1)</f>
        <v>2.2999999999999998</v>
      </c>
      <c r="R89" s="422"/>
      <c r="S89" s="298">
        <f>S90*T90+S91*T91+S92*T92</f>
        <v>2.333333333333333</v>
      </c>
      <c r="T89" s="532">
        <f>重み!D89</f>
        <v>0.30000000000000004</v>
      </c>
      <c r="U89" s="396"/>
      <c r="V89" s="301">
        <f>重み!E89</f>
        <v>0</v>
      </c>
      <c r="W89" s="299">
        <f>IF(U89=0,S89,IF(S89=0,U89,S89*Y$6+U89*AA$6))</f>
        <v>2.333333333333333</v>
      </c>
      <c r="X89" s="422"/>
      <c r="Y89" s="394">
        <f>重み!M89</f>
        <v>0.3</v>
      </c>
      <c r="AA89" s="394">
        <f>重み!N89</f>
        <v>0</v>
      </c>
    </row>
    <row r="90" spans="1:27" ht="13.2">
      <c r="A90" s="40"/>
      <c r="B90" s="200"/>
      <c r="C90" s="195">
        <v>2.1</v>
      </c>
      <c r="D90" s="197" t="s">
        <v>573</v>
      </c>
      <c r="E90" s="186"/>
      <c r="F90" s="199"/>
      <c r="G90" s="199"/>
      <c r="H90" s="2904">
        <f>採点LR2!H147</f>
        <v>0</v>
      </c>
      <c r="I90" s="2905"/>
      <c r="J90" s="2905"/>
      <c r="K90" s="2905"/>
      <c r="L90" s="2905"/>
      <c r="M90" s="573">
        <f t="shared" si="18"/>
        <v>3</v>
      </c>
      <c r="N90" s="244">
        <f t="shared" si="19"/>
        <v>0.33333333333333331</v>
      </c>
      <c r="O90" s="573">
        <f t="shared" ref="O90:O103" si="31">ROUNDDOWN(U90,1)</f>
        <v>0</v>
      </c>
      <c r="P90" s="244">
        <f t="shared" si="30"/>
        <v>0</v>
      </c>
      <c r="Q90" s="229"/>
      <c r="R90" s="422"/>
      <c r="S90" s="397">
        <f>IF(採点LR2!D140="対象外",0,採点LR2!D140)</f>
        <v>3</v>
      </c>
      <c r="T90" s="532">
        <f>重み!D90</f>
        <v>0.33333333333333331</v>
      </c>
      <c r="U90" s="396"/>
      <c r="V90" s="301">
        <f>重み!E90</f>
        <v>0</v>
      </c>
      <c r="W90" s="299"/>
      <c r="X90" s="422"/>
      <c r="Y90" s="394">
        <f>重み!M90</f>
        <v>0.33333333333333331</v>
      </c>
      <c r="AA90" s="394">
        <f>重み!N90</f>
        <v>0</v>
      </c>
    </row>
    <row r="91" spans="1:27" ht="13.2">
      <c r="A91" s="40"/>
      <c r="B91" s="200"/>
      <c r="C91" s="193">
        <v>2.2000000000000002</v>
      </c>
      <c r="D91" s="555" t="s">
        <v>572</v>
      </c>
      <c r="E91" s="186"/>
      <c r="F91" s="199"/>
      <c r="G91" s="199"/>
      <c r="H91" s="2904">
        <f>採点LR2!H158</f>
        <v>0</v>
      </c>
      <c r="I91" s="2905"/>
      <c r="J91" s="2905"/>
      <c r="K91" s="2905"/>
      <c r="L91" s="2905"/>
      <c r="M91" s="250">
        <f t="shared" si="18"/>
        <v>2</v>
      </c>
      <c r="N91" s="244">
        <f t="shared" si="19"/>
        <v>0.33333333333333331</v>
      </c>
      <c r="O91" s="250">
        <f t="shared" si="31"/>
        <v>0</v>
      </c>
      <c r="P91" s="244">
        <f t="shared" si="30"/>
        <v>0</v>
      </c>
      <c r="Q91" s="229"/>
      <c r="R91" s="422"/>
      <c r="S91" s="397">
        <f>IF(採点LR2!D151="対象外",0,採点LR2!D151)</f>
        <v>2</v>
      </c>
      <c r="T91" s="532">
        <f>重み!D91</f>
        <v>0.33333333333333331</v>
      </c>
      <c r="U91" s="396"/>
      <c r="V91" s="301">
        <f>重み!E91</f>
        <v>0</v>
      </c>
      <c r="W91" s="299"/>
      <c r="X91" s="422"/>
      <c r="Y91" s="394">
        <f>重み!M91</f>
        <v>0.33333333333333331</v>
      </c>
      <c r="AA91" s="394">
        <f>重み!N91</f>
        <v>0</v>
      </c>
    </row>
    <row r="92" spans="1:27" ht="13.8" thickBot="1">
      <c r="A92" s="40"/>
      <c r="B92" s="539"/>
      <c r="C92" s="195">
        <v>2.2999999999999998</v>
      </c>
      <c r="D92" s="555" t="s">
        <v>545</v>
      </c>
      <c r="E92" s="186"/>
      <c r="F92" s="199"/>
      <c r="G92" s="199"/>
      <c r="H92" s="2904">
        <f>採点LR2!H169</f>
        <v>0</v>
      </c>
      <c r="I92" s="2908"/>
      <c r="J92" s="2908"/>
      <c r="K92" s="2908"/>
      <c r="L92" s="2909"/>
      <c r="M92" s="235">
        <f t="shared" si="18"/>
        <v>2</v>
      </c>
      <c r="N92" s="244">
        <f t="shared" si="19"/>
        <v>0.33333333333333331</v>
      </c>
      <c r="O92" s="235">
        <f t="shared" si="31"/>
        <v>0</v>
      </c>
      <c r="P92" s="244">
        <f t="shared" si="30"/>
        <v>0</v>
      </c>
      <c r="Q92" s="229"/>
      <c r="R92" s="422"/>
      <c r="S92" s="397">
        <f>IF(採点LR2!D162="対象外",0,採点LR2!D162)</f>
        <v>2</v>
      </c>
      <c r="T92" s="532">
        <f>重み!D92</f>
        <v>0.33333333333333331</v>
      </c>
      <c r="U92" s="396"/>
      <c r="V92" s="301">
        <f>重み!E92</f>
        <v>0</v>
      </c>
      <c r="W92" s="299"/>
      <c r="X92" s="422"/>
      <c r="Y92" s="394">
        <f>重み!M92</f>
        <v>0.33333333333333331</v>
      </c>
      <c r="AA92" s="394">
        <f>重み!N92</f>
        <v>0</v>
      </c>
    </row>
    <row r="93" spans="1:27" ht="13.8" thickBot="1">
      <c r="A93" s="40"/>
      <c r="B93" s="218">
        <v>3</v>
      </c>
      <c r="C93" s="181" t="s">
        <v>563</v>
      </c>
      <c r="D93" s="549"/>
      <c r="E93" s="189"/>
      <c r="F93" s="201"/>
      <c r="G93" s="201"/>
      <c r="H93" s="1001"/>
      <c r="I93" s="1002"/>
      <c r="J93" s="1002"/>
      <c r="K93" s="1002"/>
      <c r="L93" s="1003"/>
      <c r="M93" s="227">
        <f t="shared" si="18"/>
        <v>5</v>
      </c>
      <c r="N93" s="237">
        <f t="shared" si="19"/>
        <v>0.10000000000000002</v>
      </c>
      <c r="O93" s="227">
        <f t="shared" si="31"/>
        <v>0</v>
      </c>
      <c r="P93" s="237">
        <f t="shared" si="30"/>
        <v>0</v>
      </c>
      <c r="Q93" s="238">
        <f t="shared" ref="Q93:Q101" si="32">ROUNDDOWN(W93,1)</f>
        <v>5</v>
      </c>
      <c r="R93" s="422"/>
      <c r="S93" s="298">
        <f>S94*T94+S95*T95</f>
        <v>5</v>
      </c>
      <c r="T93" s="532">
        <f>重み!D93</f>
        <v>0.10000000000000002</v>
      </c>
      <c r="U93" s="396"/>
      <c r="V93" s="301">
        <f>重み!E93</f>
        <v>0</v>
      </c>
      <c r="W93" s="299">
        <f>IF(U93=0,S93,IF(S93=0,U93,S93*Y$6+U93*AA$6))</f>
        <v>5</v>
      </c>
      <c r="X93" s="422"/>
      <c r="Y93" s="394">
        <f>重み!M93</f>
        <v>0.1</v>
      </c>
      <c r="AA93" s="394">
        <f>重み!N93</f>
        <v>0</v>
      </c>
    </row>
    <row r="94" spans="1:27" ht="13.8" thickBot="1">
      <c r="A94" s="40"/>
      <c r="B94" s="200"/>
      <c r="C94" s="538">
        <v>3.1</v>
      </c>
      <c r="D94" s="555" t="s">
        <v>546</v>
      </c>
      <c r="E94" s="186"/>
      <c r="F94" s="199"/>
      <c r="G94" s="199"/>
      <c r="H94" s="2904">
        <f>採点LR2!H181</f>
        <v>0</v>
      </c>
      <c r="I94" s="2905"/>
      <c r="J94" s="2905"/>
      <c r="K94" s="2905"/>
      <c r="L94" s="2905"/>
      <c r="M94" s="573">
        <f t="shared" si="18"/>
        <v>5</v>
      </c>
      <c r="N94" s="244">
        <f>T94</f>
        <v>1</v>
      </c>
      <c r="O94" s="573">
        <f t="shared" si="31"/>
        <v>0</v>
      </c>
      <c r="P94" s="244">
        <f t="shared" si="30"/>
        <v>0</v>
      </c>
      <c r="Q94" s="229"/>
      <c r="R94" s="422"/>
      <c r="S94" s="397">
        <f>IF(採点LR2!D174="対象外",0,採点LR2!D174)</f>
        <v>5</v>
      </c>
      <c r="T94" s="532">
        <f>重み!D94</f>
        <v>1</v>
      </c>
      <c r="U94" s="396"/>
      <c r="V94" s="301">
        <f>重み!E94</f>
        <v>0</v>
      </c>
      <c r="W94" s="299"/>
      <c r="X94" s="422"/>
      <c r="Y94" s="394">
        <f>重み!M94</f>
        <v>1</v>
      </c>
      <c r="AA94" s="394">
        <f>重み!N94</f>
        <v>0</v>
      </c>
    </row>
    <row r="95" spans="1:27" ht="13.8" hidden="1" thickBot="1">
      <c r="A95" s="40"/>
      <c r="B95" s="200"/>
      <c r="C95" s="538">
        <v>3.2</v>
      </c>
      <c r="D95" s="562"/>
      <c r="E95" s="186"/>
      <c r="F95" s="199"/>
      <c r="G95" s="199"/>
      <c r="H95" s="2904"/>
      <c r="I95" s="2905"/>
      <c r="J95" s="2905"/>
      <c r="K95" s="2905"/>
      <c r="L95" s="2905"/>
      <c r="M95" s="250">
        <f t="shared" si="18"/>
        <v>0</v>
      </c>
      <c r="N95" s="244">
        <f t="shared" si="19"/>
        <v>0</v>
      </c>
      <c r="O95" s="250">
        <f t="shared" si="31"/>
        <v>0</v>
      </c>
      <c r="P95" s="244">
        <f t="shared" si="30"/>
        <v>0</v>
      </c>
      <c r="Q95" s="229">
        <f t="shared" si="32"/>
        <v>0</v>
      </c>
      <c r="R95" s="422"/>
      <c r="S95" s="397"/>
      <c r="T95" s="532">
        <f>重み!D95</f>
        <v>0</v>
      </c>
      <c r="U95" s="396"/>
      <c r="V95" s="301">
        <f>重み!E95</f>
        <v>0</v>
      </c>
      <c r="W95" s="299"/>
      <c r="X95" s="422"/>
      <c r="Y95" s="394">
        <f>重み!M95</f>
        <v>0</v>
      </c>
      <c r="AA95" s="394">
        <f>重み!N95</f>
        <v>0</v>
      </c>
    </row>
    <row r="96" spans="1:27" ht="16.2" thickBot="1">
      <c r="A96" s="40"/>
      <c r="B96" s="202" t="s">
        <v>709</v>
      </c>
      <c r="C96" s="205" t="s">
        <v>215</v>
      </c>
      <c r="D96" s="556"/>
      <c r="E96" s="556"/>
      <c r="F96" s="206"/>
      <c r="G96" s="206"/>
      <c r="H96" s="1004"/>
      <c r="I96" s="1005"/>
      <c r="J96" s="1005"/>
      <c r="K96" s="1005"/>
      <c r="L96" s="1006"/>
      <c r="M96" s="333">
        <f>ROUNDDOWN(S96,1)</f>
        <v>0</v>
      </c>
      <c r="N96" s="241">
        <f>T96</f>
        <v>0.3</v>
      </c>
      <c r="O96" s="334">
        <f t="shared" si="31"/>
        <v>0</v>
      </c>
      <c r="P96" s="241">
        <f>V96</f>
        <v>0</v>
      </c>
      <c r="Q96" s="242">
        <f t="shared" si="32"/>
        <v>4.3</v>
      </c>
      <c r="R96" s="422"/>
      <c r="S96" s="398"/>
      <c r="T96" s="531">
        <f>重み!D96</f>
        <v>0.3</v>
      </c>
      <c r="U96" s="396"/>
      <c r="V96" s="301">
        <f>重み!E96</f>
        <v>0</v>
      </c>
      <c r="W96" s="299">
        <f>W97*T97+W101*T101+W98*T98</f>
        <v>4.333333333333333</v>
      </c>
      <c r="X96" s="422"/>
      <c r="Y96" s="394">
        <f>重み!M96</f>
        <v>0.3</v>
      </c>
      <c r="AA96" s="394">
        <f>重み!N96</f>
        <v>0</v>
      </c>
    </row>
    <row r="97" spans="1:27" ht="13.8" thickBot="1">
      <c r="A97" s="40"/>
      <c r="B97" s="217">
        <v>1</v>
      </c>
      <c r="C97" s="196" t="s">
        <v>261</v>
      </c>
      <c r="D97" s="557"/>
      <c r="E97" s="557"/>
      <c r="F97" s="201"/>
      <c r="G97" s="201"/>
      <c r="H97" s="2921"/>
      <c r="I97" s="2922"/>
      <c r="J97" s="2922"/>
      <c r="K97" s="2922"/>
      <c r="L97" s="2922"/>
      <c r="M97" s="248">
        <f t="shared" si="18"/>
        <v>4</v>
      </c>
      <c r="N97" s="578">
        <f t="shared" si="19"/>
        <v>0.33333333333333331</v>
      </c>
      <c r="O97" s="577"/>
      <c r="P97" s="246"/>
      <c r="Q97" s="229">
        <f t="shared" si="32"/>
        <v>4</v>
      </c>
      <c r="R97" s="422"/>
      <c r="S97" s="397">
        <f>IF(採点LR3!D8="対象外",0,採点LR3!D8)</f>
        <v>4</v>
      </c>
      <c r="T97" s="532">
        <f>重み!D97</f>
        <v>0.33333333333333331</v>
      </c>
      <c r="U97" s="396"/>
      <c r="V97" s="301">
        <f>重み!E97</f>
        <v>0</v>
      </c>
      <c r="W97" s="299">
        <f>IF(U97=0,S97,IF(S97=0,U97,S97*Y$6+U97*AA$6))</f>
        <v>4</v>
      </c>
      <c r="X97" s="422"/>
      <c r="Y97" s="394">
        <f>重み!M97</f>
        <v>0.33333333333333331</v>
      </c>
      <c r="AA97" s="394">
        <f>重み!N97</f>
        <v>0</v>
      </c>
    </row>
    <row r="98" spans="1:27" ht="13.8" thickBot="1">
      <c r="A98" s="40"/>
      <c r="B98" s="217">
        <v>2</v>
      </c>
      <c r="C98" s="196" t="s">
        <v>285</v>
      </c>
      <c r="D98" s="557"/>
      <c r="E98" s="557"/>
      <c r="F98" s="201"/>
      <c r="G98" s="201"/>
      <c r="H98" s="1001"/>
      <c r="I98" s="1002"/>
      <c r="J98" s="1002"/>
      <c r="K98" s="1002"/>
      <c r="L98" s="1003"/>
      <c r="M98" s="227">
        <f>ROUNDDOWN(S98,1)</f>
        <v>4</v>
      </c>
      <c r="N98" s="244">
        <f>T98</f>
        <v>0.33333333333333331</v>
      </c>
      <c r="O98" s="577"/>
      <c r="P98" s="246"/>
      <c r="Q98" s="238">
        <f>ROUNDDOWN(W98,1)</f>
        <v>4</v>
      </c>
      <c r="R98" s="422"/>
      <c r="S98" s="298">
        <f>S99*T99+S100*T100</f>
        <v>4</v>
      </c>
      <c r="T98" s="532">
        <f>重み!D99</f>
        <v>0.33333333333333331</v>
      </c>
      <c r="U98" s="396"/>
      <c r="V98" s="301"/>
      <c r="W98" s="299">
        <f>IF(U98=0,S98,IF(S98=0,U98,S98*Y$6+U98*AA$6))</f>
        <v>4</v>
      </c>
      <c r="X98" s="422"/>
      <c r="Y98" s="394">
        <f>重み!M98</f>
        <v>0</v>
      </c>
      <c r="AA98" s="394">
        <f>重み!N98</f>
        <v>0</v>
      </c>
    </row>
    <row r="99" spans="1:27" ht="13.2">
      <c r="A99" s="40"/>
      <c r="B99" s="534"/>
      <c r="C99" s="538">
        <v>2.1</v>
      </c>
      <c r="D99" s="555" t="s">
        <v>710</v>
      </c>
      <c r="E99" s="557"/>
      <c r="F99" s="201"/>
      <c r="G99" s="201"/>
      <c r="H99" s="2924">
        <f>採点LR3!H59</f>
        <v>0</v>
      </c>
      <c r="I99" s="2925"/>
      <c r="J99" s="2925"/>
      <c r="K99" s="2925"/>
      <c r="L99" s="2926"/>
      <c r="M99" s="760">
        <f>ROUNDDOWN(S99,1)</f>
        <v>4</v>
      </c>
      <c r="N99" s="249">
        <f>T99</f>
        <v>0.5</v>
      </c>
      <c r="O99" s="761">
        <f>ROUNDDOWN(U99,1)</f>
        <v>0</v>
      </c>
      <c r="P99" s="249">
        <f>V99</f>
        <v>0</v>
      </c>
      <c r="Q99" s="231"/>
      <c r="R99" s="422"/>
      <c r="S99" s="397">
        <f>IF(採点LR3!D42="対象外",0,採点LR3!D42)</f>
        <v>4</v>
      </c>
      <c r="T99" s="533">
        <f>重み!D100</f>
        <v>0.5</v>
      </c>
      <c r="U99" s="396"/>
      <c r="V99" s="301">
        <f>重み!E100</f>
        <v>0</v>
      </c>
      <c r="W99" s="2490"/>
      <c r="X99" s="422"/>
      <c r="Y99" s="394">
        <f>重み!M99</f>
        <v>0.33333333333333331</v>
      </c>
      <c r="AA99" s="394">
        <f>重み!N99</f>
        <v>0</v>
      </c>
    </row>
    <row r="100" spans="1:27" ht="13.8" thickBot="1">
      <c r="A100" s="40"/>
      <c r="B100" s="811"/>
      <c r="C100" s="195">
        <v>2.2000000000000002</v>
      </c>
      <c r="D100" s="555" t="s">
        <v>711</v>
      </c>
      <c r="E100" s="555"/>
      <c r="F100" s="199"/>
      <c r="G100" s="199"/>
      <c r="H100" s="2913">
        <f>採点LR3!H79</f>
        <v>0</v>
      </c>
      <c r="I100" s="2927"/>
      <c r="J100" s="2927"/>
      <c r="K100" s="2927"/>
      <c r="L100" s="2928"/>
      <c r="M100" s="235">
        <f>ROUNDDOWN(S100,1)</f>
        <v>4</v>
      </c>
      <c r="N100" s="762">
        <f>T100</f>
        <v>0.5</v>
      </c>
      <c r="O100" s="574">
        <f>ROUNDDOWN(U100,1)</f>
        <v>0</v>
      </c>
      <c r="P100" s="762">
        <f>V100</f>
        <v>0</v>
      </c>
      <c r="Q100" s="243"/>
      <c r="R100" s="422"/>
      <c r="S100" s="397">
        <f>IF(採点LR3!D63="対象外",0,採点LR3!D63)</f>
        <v>4</v>
      </c>
      <c r="T100" s="533">
        <f>重み!D101</f>
        <v>0.5</v>
      </c>
      <c r="U100" s="398"/>
      <c r="V100" s="301">
        <f>重み!E101</f>
        <v>0</v>
      </c>
      <c r="W100" s="2490"/>
      <c r="X100" s="422"/>
      <c r="Y100" s="394">
        <f>重み!M100</f>
        <v>0.5</v>
      </c>
      <c r="AA100" s="394">
        <f>重み!N100</f>
        <v>0</v>
      </c>
    </row>
    <row r="101" spans="1:27" ht="13.8" thickBot="1">
      <c r="A101" s="40"/>
      <c r="B101" s="218">
        <v>3</v>
      </c>
      <c r="C101" s="209" t="s">
        <v>702</v>
      </c>
      <c r="D101" s="557"/>
      <c r="E101" s="557"/>
      <c r="F101" s="201"/>
      <c r="G101" s="201"/>
      <c r="H101" s="1007"/>
      <c r="I101" s="1008"/>
      <c r="J101" s="1008"/>
      <c r="K101" s="1008"/>
      <c r="L101" s="1023"/>
      <c r="M101" s="236">
        <f>ROUNDDOWN(S101,1)</f>
        <v>5</v>
      </c>
      <c r="N101" s="814">
        <f t="shared" si="19"/>
        <v>0.33333333333333331</v>
      </c>
      <c r="O101" s="574"/>
      <c r="P101" s="762"/>
      <c r="Q101" s="243">
        <f t="shared" si="32"/>
        <v>5</v>
      </c>
      <c r="R101" s="422"/>
      <c r="S101" s="298">
        <f>S102*T102+S103*T103</f>
        <v>5</v>
      </c>
      <c r="T101" s="532">
        <f>重み!D102</f>
        <v>0.33333333333333331</v>
      </c>
      <c r="U101" s="396"/>
      <c r="V101" s="301">
        <f>重み!E102</f>
        <v>0</v>
      </c>
      <c r="W101" s="299">
        <f>IF(U101=0,S101,IF(S101=0,U101,S101*Y$6+U101*AA$6))</f>
        <v>5</v>
      </c>
      <c r="X101" s="422"/>
      <c r="Y101" s="394">
        <f>重み!M101</f>
        <v>0.5</v>
      </c>
      <c r="AA101" s="394">
        <f>重み!N101</f>
        <v>0</v>
      </c>
    </row>
    <row r="102" spans="1:27" ht="13.2">
      <c r="A102" s="40"/>
      <c r="B102" s="758"/>
      <c r="C102" s="195">
        <v>3.1</v>
      </c>
      <c r="D102" s="557" t="s">
        <v>738</v>
      </c>
      <c r="E102" s="557"/>
      <c r="F102" s="201"/>
      <c r="G102" s="201"/>
      <c r="H102" s="2924">
        <f>採点LR3!H96</f>
        <v>0</v>
      </c>
      <c r="I102" s="2925"/>
      <c r="J102" s="2925"/>
      <c r="K102" s="2925"/>
      <c r="L102" s="2926"/>
      <c r="M102" s="573">
        <f t="shared" si="18"/>
        <v>5</v>
      </c>
      <c r="N102" s="244">
        <f t="shared" si="19"/>
        <v>0.5</v>
      </c>
      <c r="O102" s="573">
        <f t="shared" si="31"/>
        <v>0</v>
      </c>
      <c r="P102" s="244">
        <f>V102</f>
        <v>0</v>
      </c>
      <c r="Q102" s="229"/>
      <c r="R102" s="422"/>
      <c r="S102" s="397">
        <f>IF(採点LR3!D84="対象外",0,採点LR3!D84)</f>
        <v>5</v>
      </c>
      <c r="T102" s="533">
        <f>重み!D103</f>
        <v>0.5</v>
      </c>
      <c r="U102" s="396"/>
      <c r="V102" s="301">
        <f>重み!E103</f>
        <v>0</v>
      </c>
      <c r="W102" s="2490"/>
      <c r="X102" s="422"/>
      <c r="Y102" s="394">
        <f>重み!M102</f>
        <v>0.33333333333333331</v>
      </c>
      <c r="AA102" s="394">
        <f>重み!N102</f>
        <v>0</v>
      </c>
    </row>
    <row r="103" spans="1:27" ht="13.8" thickBot="1">
      <c r="A103" s="40"/>
      <c r="B103" s="759"/>
      <c r="C103" s="222">
        <v>3.2</v>
      </c>
      <c r="D103" s="561" t="s">
        <v>76</v>
      </c>
      <c r="E103" s="561"/>
      <c r="F103" s="223"/>
      <c r="G103" s="223"/>
      <c r="H103" s="2910">
        <f>採点LR3!H116</f>
        <v>0</v>
      </c>
      <c r="I103" s="2923"/>
      <c r="J103" s="2923"/>
      <c r="K103" s="2923"/>
      <c r="L103" s="2923"/>
      <c r="M103" s="235">
        <f t="shared" si="18"/>
        <v>5</v>
      </c>
      <c r="N103" s="584">
        <f t="shared" si="19"/>
        <v>0.5</v>
      </c>
      <c r="O103" s="235">
        <f t="shared" si="31"/>
        <v>0</v>
      </c>
      <c r="P103" s="584">
        <f>V103</f>
        <v>0</v>
      </c>
      <c r="Q103" s="240"/>
      <c r="R103" s="422"/>
      <c r="S103" s="397">
        <f>IF(採点LR3!D100="対象外",0,採点LR3!D100)</f>
        <v>5</v>
      </c>
      <c r="T103" s="533">
        <f>重み!D104</f>
        <v>0.5</v>
      </c>
      <c r="U103" s="396"/>
      <c r="V103" s="301">
        <f>重み!E104</f>
        <v>0</v>
      </c>
      <c r="W103" s="2490"/>
      <c r="X103" s="422"/>
      <c r="Y103" s="394">
        <f>重み!M103</f>
        <v>0.5</v>
      </c>
      <c r="AA103" s="394">
        <f>重み!N103</f>
        <v>0</v>
      </c>
    </row>
    <row r="104" spans="1:27" ht="6" customHeight="1">
      <c r="A104" s="40"/>
      <c r="B104" s="224"/>
      <c r="C104" s="225"/>
      <c r="D104" s="21"/>
      <c r="E104" s="40"/>
      <c r="F104" s="210"/>
      <c r="G104" s="256"/>
      <c r="H104" s="251"/>
      <c r="I104" s="251"/>
      <c r="J104" s="251"/>
      <c r="K104" s="251"/>
      <c r="L104" s="251"/>
      <c r="M104" s="251"/>
      <c r="N104" s="252"/>
      <c r="O104" s="253"/>
      <c r="P104" s="254"/>
      <c r="Q104" s="255"/>
      <c r="R104" s="422"/>
      <c r="S104" s="399"/>
      <c r="T104" s="226"/>
      <c r="U104" s="399"/>
      <c r="V104" s="226"/>
      <c r="W104" s="226"/>
      <c r="X104" s="422"/>
    </row>
    <row r="105" spans="1:27" ht="12.6" customHeight="1"/>
    <row r="106" spans="1:27" ht="12.6" customHeight="1"/>
    <row r="107" spans="1:27" ht="12.6" customHeight="1"/>
    <row r="108" spans="1:27" ht="12.6" customHeight="1"/>
    <row r="109" spans="1:27" ht="12.6" customHeight="1"/>
    <row r="110" spans="1:27" ht="12.6" customHeight="1"/>
    <row r="111" spans="1:27" ht="12.6" customHeight="1"/>
    <row r="112" spans="1:27"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sheetData>
  <sheetProtection algorithmName="SHA-512" hashValue="gJnvXUOVMeTrCrZ+7VB0JOMt82C0vXA0TTQabm1VdMt+npDTmEI3VVXIf2k249dNWX+d70wTGho7Gk3HUjp2Ag==" saltValue="eAz+Bss38b8QTUV52cJB0Q==" spinCount="100000" sheet="1" objects="1" scenarios="1"/>
  <mergeCells count="65">
    <mergeCell ref="H95:L95"/>
    <mergeCell ref="H94:L94"/>
    <mergeCell ref="H72:L72"/>
    <mergeCell ref="H74:L74"/>
    <mergeCell ref="H75:L75"/>
    <mergeCell ref="H77:L77"/>
    <mergeCell ref="H78:L78"/>
    <mergeCell ref="H82:L82"/>
    <mergeCell ref="H83:L83"/>
    <mergeCell ref="H92:L92"/>
    <mergeCell ref="H90:L90"/>
    <mergeCell ref="H87:L87"/>
    <mergeCell ref="H86:L86"/>
    <mergeCell ref="H84:L84"/>
    <mergeCell ref="H88:L88"/>
    <mergeCell ref="H91:L91"/>
    <mergeCell ref="H103:L103"/>
    <mergeCell ref="H97:L97"/>
    <mergeCell ref="H99:L99"/>
    <mergeCell ref="H100:L100"/>
    <mergeCell ref="H102:L102"/>
    <mergeCell ref="E5:F5"/>
    <mergeCell ref="H12:L12"/>
    <mergeCell ref="H61:L61"/>
    <mergeCell ref="H63:L63"/>
    <mergeCell ref="H65:L65"/>
    <mergeCell ref="H64:L64"/>
    <mergeCell ref="H59:L59"/>
    <mergeCell ref="H53:L53"/>
    <mergeCell ref="H48:L48"/>
    <mergeCell ref="H49:L49"/>
    <mergeCell ref="H13:L13"/>
    <mergeCell ref="H15:L15"/>
    <mergeCell ref="H18:L18"/>
    <mergeCell ref="H19:L19"/>
    <mergeCell ref="H36:L36"/>
    <mergeCell ref="H16:L16"/>
    <mergeCell ref="H85:L85"/>
    <mergeCell ref="H24:L24"/>
    <mergeCell ref="H58:L58"/>
    <mergeCell ref="H55:L55"/>
    <mergeCell ref="H56:L56"/>
    <mergeCell ref="H43:L43"/>
    <mergeCell ref="H45:L45"/>
    <mergeCell ref="H39:L39"/>
    <mergeCell ref="H66:L66"/>
    <mergeCell ref="H70:L70"/>
    <mergeCell ref="H50:L50"/>
    <mergeCell ref="H71:L71"/>
    <mergeCell ref="K2:L2"/>
    <mergeCell ref="K3:L3"/>
    <mergeCell ref="H44:L44"/>
    <mergeCell ref="H22:L22"/>
    <mergeCell ref="H23:L23"/>
    <mergeCell ref="H38:L38"/>
    <mergeCell ref="H40:L40"/>
    <mergeCell ref="H26:L26"/>
    <mergeCell ref="H42:L42"/>
    <mergeCell ref="H29:L29"/>
    <mergeCell ref="H30:L30"/>
    <mergeCell ref="H32:L32"/>
    <mergeCell ref="H33:L33"/>
    <mergeCell ref="H37:L37"/>
    <mergeCell ref="H21:L21"/>
    <mergeCell ref="H27:L27"/>
  </mergeCells>
  <phoneticPr fontId="12"/>
  <conditionalFormatting sqref="M10 O10">
    <cfRule type="expression" dxfId="163" priority="28" stopIfTrue="1">
      <formula>AND(Y10=0)</formula>
    </cfRule>
  </conditionalFormatting>
  <conditionalFormatting sqref="M10:M33 O10:O33">
    <cfRule type="expression" dxfId="162" priority="21" stopIfTrue="1">
      <formula>AND(Y10&gt;0,M10="")</formula>
    </cfRule>
  </conditionalFormatting>
  <conditionalFormatting sqref="M11:M33 O11:O33">
    <cfRule type="expression" dxfId="161" priority="22" stopIfTrue="1">
      <formula>(Y11=0)</formula>
    </cfRule>
  </conditionalFormatting>
  <conditionalFormatting sqref="M35:M59 O35:O59">
    <cfRule type="expression" dxfId="160" priority="1" stopIfTrue="1">
      <formula>AND(Y35&gt;0,M35="")</formula>
    </cfRule>
    <cfRule type="expression" dxfId="159" priority="2" stopIfTrue="1">
      <formula>(Y35=0)</formula>
    </cfRule>
  </conditionalFormatting>
  <conditionalFormatting sqref="M61:M66 O61:O66 M69:M78 O69:O78 M80:M95 O80:O95 M97:M103 O97:O103">
    <cfRule type="expression" dxfId="158" priority="25" stopIfTrue="1">
      <formula>AND(Y61&gt;0,M61="")</formula>
    </cfRule>
    <cfRule type="expression" dxfId="157" priority="26" stopIfTrue="1">
      <formula>(Y61=0)</formula>
    </cfRule>
  </conditionalFormatting>
  <dataValidations xWindow="895" yWindow="482" count="2">
    <dataValidation allowBlank="1" showErrorMessage="1" sqref="S93:T93 S73:T73 S76:T76 S51:T51 T52:T72 S89:T89 S69 S62 S80:S81 S46:T46 T18:T19 S10:S11 S28 S25 S17:T17 S20:T20 S14:T14 T10:T13 T15:T16 M10:P103 T74:T75 T77:T88 T90:T92 S101:T101 T102:T103 T94:T97 T99:T100 S98:T98 T36:T45 T32:T34 T21:T30 S31:T31 S35:T35 T47:T50 S38:S41 S47 S54 S52 S57" xr:uid="{00000000-0002-0000-0600-000000000000}"/>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Q60 Q79 Q67:Q68 Q34 Q96" xr:uid="{00000000-0002-0000-0600-000001000000}">
      <formula1>0</formula1>
      <formula2>5</formula2>
    </dataValidation>
  </dataValidations>
  <printOptions horizontalCentered="1"/>
  <pageMargins left="1.1811023622047245" right="0.98425196850393704" top="0.78740157480314965" bottom="0.78740157480314965" header="0.51181102362204722" footer="0.51181102362204722"/>
  <pageSetup paperSize="9" scale="63" fitToHeight="0" orientation="portrait" verticalDpi="4294967293" r:id="rId1"/>
  <headerFooter alignWithMargins="0">
    <oddHeader>&amp;L&amp;F&amp;R&amp;A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autoPageBreaks="0" fitToPage="1"/>
  </sheetPr>
  <dimension ref="A1:AY123"/>
  <sheetViews>
    <sheetView showGridLines="0" topLeftCell="P1" zoomScaleNormal="100" workbookViewId="0">
      <selection activeCell="BC110" sqref="BC110"/>
    </sheetView>
  </sheetViews>
  <sheetFormatPr defaultColWidth="8.88671875" defaultRowHeight="13.2" zeroHeight="1"/>
  <cols>
    <col min="1" max="1" width="1.6640625" customWidth="1"/>
    <col min="2" max="2" width="5.6640625" customWidth="1"/>
    <col min="3" max="3" width="33.6640625" customWidth="1"/>
    <col min="4" max="4" width="9.44140625" bestFit="1" customWidth="1"/>
    <col min="5" max="5" width="8.88671875" hidden="1" customWidth="1"/>
    <col min="6" max="6" width="1.6640625" customWidth="1"/>
    <col min="7" max="7" width="9.44140625" bestFit="1" customWidth="1"/>
    <col min="8" max="8" width="8.88671875" hidden="1" customWidth="1"/>
    <col min="9" max="9" width="10.44140625" bestFit="1" customWidth="1"/>
    <col min="10" max="10" width="8.88671875" hidden="1" customWidth="1"/>
    <col min="11" max="11" width="11.44140625" bestFit="1" customWidth="1"/>
    <col min="12" max="12" width="8.88671875" hidden="1" customWidth="1"/>
    <col min="13" max="13" width="9.6640625" bestFit="1" customWidth="1"/>
    <col min="14" max="14" width="8.88671875" hidden="1" customWidth="1"/>
    <col min="15" max="15" width="2.109375" customWidth="1"/>
    <col min="16" max="16" width="8" customWidth="1"/>
    <col min="17" max="17" width="7.109375" customWidth="1"/>
    <col min="18" max="18" width="38.88671875" customWidth="1"/>
    <col min="19" max="19" width="8" customWidth="1"/>
    <col min="20" max="22" width="2.109375" hidden="1" customWidth="1"/>
    <col min="23" max="25" width="4.88671875" hidden="1" customWidth="1"/>
    <col min="26" max="30" width="2.109375" hidden="1" customWidth="1"/>
    <col min="31" max="31" width="1.6640625" customWidth="1"/>
    <col min="32" max="32" width="15.77734375" customWidth="1"/>
    <col min="33" max="33" width="5.21875" customWidth="1"/>
    <col min="34" max="34" width="31" customWidth="1"/>
    <col min="35" max="35" width="9" customWidth="1"/>
    <col min="36" max="45" width="9" hidden="1" customWidth="1"/>
    <col min="46" max="46" width="2.6640625" hidden="1" customWidth="1"/>
    <col min="47" max="47" width="0.77734375" customWidth="1"/>
    <col min="48" max="48" width="7.88671875" hidden="1" customWidth="1"/>
    <col min="49" max="49" width="6.109375" hidden="1" customWidth="1"/>
    <col min="50" max="50" width="34.6640625" hidden="1" customWidth="1"/>
    <col min="51" max="51" width="8" hidden="1" customWidth="1"/>
    <col min="52" max="52" width="1.109375" customWidth="1"/>
    <col min="53" max="58" width="9" customWidth="1"/>
    <col min="59" max="221" width="4.77734375" customWidth="1"/>
    <col min="222" max="222" width="0.77734375" customWidth="1"/>
    <col min="223" max="245" width="4.77734375" customWidth="1"/>
    <col min="246" max="246" width="9" customWidth="1"/>
    <col min="247" max="247" width="8.88671875" customWidth="1"/>
  </cols>
  <sheetData>
    <row r="1" spans="2:51"/>
    <row r="2" spans="2:51" ht="19.2">
      <c r="B2" s="1198" t="s">
        <v>425</v>
      </c>
      <c r="C2" s="1199"/>
      <c r="D2" s="1200"/>
      <c r="E2" s="1221"/>
      <c r="F2" s="35"/>
      <c r="G2" s="1221"/>
      <c r="H2" s="1221"/>
      <c r="I2" s="1253"/>
      <c r="J2" s="1253"/>
      <c r="K2" s="1221"/>
      <c r="L2" s="1221"/>
      <c r="M2" s="1221"/>
      <c r="N2" s="1221"/>
      <c r="O2" s="1254"/>
      <c r="P2" s="1255" t="s">
        <v>34</v>
      </c>
      <c r="Q2" s="1231"/>
      <c r="R2" s="1227"/>
      <c r="S2" s="1229"/>
      <c r="T2" s="1229"/>
      <c r="U2" s="1229"/>
      <c r="V2" s="1229"/>
      <c r="W2" s="1229"/>
      <c r="X2" s="1229"/>
      <c r="Y2" s="1229"/>
      <c r="Z2" s="1229"/>
      <c r="AA2" s="1229"/>
      <c r="AB2" s="1229"/>
      <c r="AC2" s="1229"/>
      <c r="AD2" s="1229"/>
      <c r="AE2" s="1227"/>
      <c r="AF2" s="1227" t="s">
        <v>1909</v>
      </c>
      <c r="AG2" s="1227"/>
      <c r="AH2" s="1227"/>
      <c r="AI2" s="1227"/>
      <c r="AJ2" s="1227"/>
      <c r="AK2" s="1227"/>
      <c r="AL2" s="1227"/>
      <c r="AM2" s="1227"/>
      <c r="AN2" s="1227"/>
      <c r="AO2" s="1227"/>
      <c r="AP2" s="1227"/>
      <c r="AQ2" s="1227"/>
      <c r="AR2" s="1227"/>
      <c r="AS2" s="1227"/>
      <c r="AT2" s="1227"/>
      <c r="AU2" s="1256"/>
      <c r="AV2" s="1257" t="s">
        <v>1910</v>
      </c>
      <c r="AW2" s="1227"/>
      <c r="AX2" s="1227"/>
      <c r="AY2" s="1227"/>
    </row>
    <row r="3" spans="2:51" ht="16.2">
      <c r="B3" s="1201"/>
      <c r="C3" s="1199"/>
      <c r="D3" s="1200"/>
      <c r="E3" s="1221"/>
      <c r="F3" s="35"/>
      <c r="G3" s="1221"/>
      <c r="H3" s="1221"/>
      <c r="I3" s="1253"/>
      <c r="J3" s="1253"/>
      <c r="K3" s="1221"/>
      <c r="L3" s="1221"/>
      <c r="M3" s="1221"/>
      <c r="N3" s="1221"/>
      <c r="O3" s="1254"/>
      <c r="P3" s="33">
        <f>IF(メイン!C11=メイン!I10,1,2)</f>
        <v>1</v>
      </c>
      <c r="Q3" s="1227"/>
      <c r="R3" s="1258"/>
      <c r="S3" s="1229"/>
      <c r="T3" s="1229"/>
      <c r="U3" s="1229"/>
      <c r="V3" s="1229"/>
      <c r="W3" s="1229"/>
      <c r="X3" s="1229"/>
      <c r="Y3" s="1229"/>
      <c r="Z3" s="1229"/>
      <c r="AA3" s="1229"/>
      <c r="AB3" s="1229"/>
      <c r="AC3" s="1229"/>
      <c r="AD3" s="1229"/>
      <c r="AE3" s="1227"/>
      <c r="AF3" s="1226" t="s">
        <v>34</v>
      </c>
      <c r="AG3" s="1227"/>
      <c r="AH3" s="1228"/>
      <c r="AI3" s="1229"/>
      <c r="AJ3" s="1229"/>
      <c r="AK3" s="1229"/>
      <c r="AL3" s="1229"/>
      <c r="AM3" s="1229"/>
      <c r="AN3" s="1229"/>
      <c r="AO3" s="1229"/>
      <c r="AP3" s="1229"/>
      <c r="AQ3" s="1229"/>
      <c r="AR3" s="1229"/>
      <c r="AS3" s="1229"/>
      <c r="AT3" s="1229"/>
      <c r="AU3" s="1256"/>
      <c r="AV3" s="1226" t="s">
        <v>34</v>
      </c>
      <c r="AW3" s="1227"/>
      <c r="AX3" s="1228"/>
      <c r="AY3" s="1229"/>
    </row>
    <row r="4" spans="2:51" ht="4.5" customHeight="1">
      <c r="B4" s="1201"/>
      <c r="C4" s="1199"/>
      <c r="D4" s="1200"/>
      <c r="E4" s="1221"/>
      <c r="F4" s="35"/>
      <c r="G4" s="1221"/>
      <c r="H4" s="1221"/>
      <c r="I4" s="1253"/>
      <c r="J4" s="1253"/>
      <c r="K4" s="1221"/>
      <c r="L4" s="1221"/>
      <c r="M4" s="1221"/>
      <c r="N4" s="1221"/>
      <c r="O4" s="1254"/>
      <c r="P4" s="1231"/>
      <c r="Q4" s="1231"/>
      <c r="R4" s="1258"/>
      <c r="S4" s="1229"/>
      <c r="T4" s="1229"/>
      <c r="U4" s="1229"/>
      <c r="V4" s="1229"/>
      <c r="W4" s="1229"/>
      <c r="X4" s="1229"/>
      <c r="Y4" s="1229"/>
      <c r="Z4" s="1229"/>
      <c r="AA4" s="1229"/>
      <c r="AB4" s="1229"/>
      <c r="AC4" s="1229"/>
      <c r="AD4" s="1229"/>
      <c r="AE4" s="1227"/>
      <c r="AF4" s="1230"/>
      <c r="AG4" s="1231"/>
      <c r="AH4" s="1232"/>
      <c r="AI4" s="1229"/>
      <c r="AJ4" s="1229"/>
      <c r="AK4" s="1229"/>
      <c r="AL4" s="1229"/>
      <c r="AM4" s="1229"/>
      <c r="AN4" s="1229"/>
      <c r="AO4" s="1229"/>
      <c r="AP4" s="1229"/>
      <c r="AQ4" s="1229"/>
      <c r="AR4" s="1229"/>
      <c r="AS4" s="1229"/>
      <c r="AT4" s="1229"/>
      <c r="AU4" s="1256"/>
      <c r="AV4" s="1230"/>
      <c r="AW4" s="1231"/>
      <c r="AX4" s="1232"/>
      <c r="AY4" s="1229"/>
    </row>
    <row r="5" spans="2:51">
      <c r="B5" s="2929"/>
      <c r="C5" s="2930"/>
      <c r="D5" s="2467" t="s">
        <v>65</v>
      </c>
      <c r="E5" s="2468"/>
      <c r="F5" s="681"/>
      <c r="G5" s="1222" t="s">
        <v>64</v>
      </c>
      <c r="H5" s="1259"/>
      <c r="I5" s="1260" t="s">
        <v>188</v>
      </c>
      <c r="J5" s="1261"/>
      <c r="K5" s="1222" t="s">
        <v>410</v>
      </c>
      <c r="L5" s="1259"/>
      <c r="M5" s="1222" t="s">
        <v>98</v>
      </c>
      <c r="N5" s="1259"/>
      <c r="O5" s="1262"/>
      <c r="P5" s="2469"/>
      <c r="Q5" s="2469"/>
      <c r="R5" s="2469"/>
      <c r="S5" s="1263" t="s">
        <v>869</v>
      </c>
      <c r="T5" s="1263"/>
      <c r="U5" s="1263"/>
      <c r="V5" s="1263"/>
      <c r="W5" s="1263"/>
      <c r="X5" s="1263"/>
      <c r="Y5" s="1263"/>
      <c r="Z5" s="1263"/>
      <c r="AA5" s="1263"/>
      <c r="AB5" s="1263"/>
      <c r="AC5" s="1263"/>
      <c r="AD5" s="1263"/>
      <c r="AE5" s="1264"/>
      <c r="AF5" s="2619"/>
      <c r="AG5" s="2469"/>
      <c r="AH5" s="2620"/>
      <c r="AI5" s="1233" t="s">
        <v>869</v>
      </c>
      <c r="AJ5" s="1265"/>
      <c r="AK5" s="1265"/>
      <c r="AL5" s="1265"/>
      <c r="AM5" s="1265"/>
      <c r="AN5" s="1265"/>
      <c r="AO5" s="1265"/>
      <c r="AP5" s="1265"/>
      <c r="AQ5" s="1266"/>
      <c r="AR5" s="2933"/>
      <c r="AS5" s="2933"/>
      <c r="AT5" s="2933"/>
      <c r="AU5" s="2621"/>
      <c r="AV5" s="2619"/>
      <c r="AW5" s="2469"/>
      <c r="AX5" s="2620"/>
      <c r="AY5" s="1233" t="s">
        <v>869</v>
      </c>
    </row>
    <row r="6" spans="2:51" hidden="1">
      <c r="B6" s="2931"/>
      <c r="C6" s="2932"/>
      <c r="D6" s="1202" t="s">
        <v>870</v>
      </c>
      <c r="E6" s="1202" t="s">
        <v>187</v>
      </c>
      <c r="F6" s="681"/>
      <c r="G6" s="1202" t="s">
        <v>870</v>
      </c>
      <c r="H6" s="1202" t="s">
        <v>187</v>
      </c>
      <c r="I6" s="1202" t="s">
        <v>870</v>
      </c>
      <c r="J6" s="1202" t="s">
        <v>187</v>
      </c>
      <c r="K6" s="1202" t="s">
        <v>870</v>
      </c>
      <c r="L6" s="1202" t="s">
        <v>187</v>
      </c>
      <c r="M6" s="1202" t="s">
        <v>870</v>
      </c>
      <c r="N6" s="1202" t="s">
        <v>187</v>
      </c>
      <c r="O6" s="1262"/>
      <c r="P6" s="2469"/>
      <c r="Q6" s="2469" t="s">
        <v>494</v>
      </c>
      <c r="R6" s="2469" t="s">
        <v>866</v>
      </c>
      <c r="S6" s="1234" t="s">
        <v>426</v>
      </c>
      <c r="T6" s="1234"/>
      <c r="U6" s="1234"/>
      <c r="V6" s="1234"/>
      <c r="W6" s="1234"/>
      <c r="X6" s="1234"/>
      <c r="Y6" s="1234"/>
      <c r="Z6" s="1267"/>
      <c r="AA6" s="1234"/>
      <c r="AB6" s="1268"/>
      <c r="AC6" s="1234"/>
      <c r="AD6" s="1234"/>
      <c r="AE6" s="1269"/>
      <c r="AF6" s="2619"/>
      <c r="AG6" s="2469" t="s">
        <v>494</v>
      </c>
      <c r="AH6" s="2620" t="s">
        <v>866</v>
      </c>
      <c r="AI6" s="1234" t="s">
        <v>499</v>
      </c>
      <c r="AJ6" s="1234"/>
      <c r="AK6" s="1234"/>
      <c r="AL6" s="1234"/>
      <c r="AM6" s="1234"/>
      <c r="AN6" s="1234"/>
      <c r="AO6" s="1234"/>
      <c r="AP6" s="1267"/>
      <c r="AQ6" s="1234"/>
      <c r="AR6" s="1268"/>
      <c r="AS6" s="1234"/>
      <c r="AT6" s="1234"/>
      <c r="AU6" s="2621"/>
      <c r="AV6" s="2619"/>
      <c r="AW6" s="2469" t="s">
        <v>494</v>
      </c>
      <c r="AX6" s="2620" t="s">
        <v>866</v>
      </c>
      <c r="AY6" s="1234" t="s">
        <v>499</v>
      </c>
    </row>
    <row r="7" spans="2:51">
      <c r="B7" s="2470"/>
      <c r="C7" s="1203" t="s">
        <v>666</v>
      </c>
      <c r="D7" s="1204">
        <f>1-E7</f>
        <v>1</v>
      </c>
      <c r="E7" s="1202"/>
      <c r="F7" s="681"/>
      <c r="G7" s="1202"/>
      <c r="H7" s="1202"/>
      <c r="I7" s="1202"/>
      <c r="J7" s="1202"/>
      <c r="K7" s="1202"/>
      <c r="L7" s="1202"/>
      <c r="M7" s="1202"/>
      <c r="N7" s="1202"/>
      <c r="O7" s="1262"/>
      <c r="P7" s="2469"/>
      <c r="Q7" s="2469" t="s">
        <v>349</v>
      </c>
      <c r="R7" s="2469" t="s">
        <v>176</v>
      </c>
      <c r="S7" s="1270">
        <f>メイン!O9/メイン!O20</f>
        <v>1</v>
      </c>
      <c r="T7" s="1270"/>
      <c r="U7" s="1270"/>
      <c r="V7" s="1270"/>
      <c r="W7" s="1270"/>
      <c r="X7" s="1270"/>
      <c r="Y7" s="1270"/>
      <c r="Z7" s="1271"/>
      <c r="AA7" s="1270"/>
      <c r="AB7" s="1270"/>
      <c r="AC7" s="1270"/>
      <c r="AD7" s="1270"/>
      <c r="AE7" s="1269"/>
      <c r="AF7" s="2619"/>
      <c r="AG7" s="2469"/>
      <c r="AH7" s="2620"/>
      <c r="AI7" s="1235"/>
      <c r="AJ7" s="1235"/>
      <c r="AK7" s="1235"/>
      <c r="AL7" s="1235"/>
      <c r="AM7" s="1235"/>
      <c r="AN7" s="1235"/>
      <c r="AO7" s="1235"/>
      <c r="AP7" s="1272"/>
      <c r="AQ7" s="1235"/>
      <c r="AR7" s="1235"/>
      <c r="AS7" s="1235"/>
      <c r="AT7" s="1235"/>
      <c r="AU7" s="2621"/>
      <c r="AV7" s="2619"/>
      <c r="AW7" s="2469"/>
      <c r="AX7" s="2620"/>
      <c r="AY7" s="1235"/>
    </row>
    <row r="8" spans="2:51" ht="15.6">
      <c r="B8" s="1205" t="s">
        <v>667</v>
      </c>
      <c r="C8" s="1206" t="str">
        <f>R8</f>
        <v>すまいの環境品質</v>
      </c>
      <c r="D8" s="1207"/>
      <c r="E8" s="1223"/>
      <c r="F8" s="275"/>
      <c r="G8" s="1223"/>
      <c r="H8" s="1223"/>
      <c r="I8" s="1223">
        <f>G9+G34+G60</f>
        <v>1</v>
      </c>
      <c r="J8" s="1223">
        <f>H9+H34+H60</f>
        <v>0</v>
      </c>
      <c r="K8" s="1223"/>
      <c r="L8" s="1223"/>
      <c r="M8" s="1223"/>
      <c r="N8" s="1223"/>
      <c r="O8" s="1273"/>
      <c r="P8" s="1205" t="str">
        <f t="shared" ref="P8:P18" si="0">IF($P$3=1,AF8,AV8)</f>
        <v>QH</v>
      </c>
      <c r="Q8" s="1236"/>
      <c r="R8" s="1205" t="str">
        <f t="shared" ref="R8:R17" si="1">IF($P$3=1,AH8,AX8)</f>
        <v>すまいの環境品質</v>
      </c>
      <c r="S8" s="2471"/>
      <c r="T8" s="1274"/>
      <c r="U8" s="1274"/>
      <c r="V8" s="1274"/>
      <c r="W8" s="1274"/>
      <c r="X8" s="1274"/>
      <c r="Y8" s="1274"/>
      <c r="Z8" s="1275"/>
      <c r="AA8" s="1274"/>
      <c r="AB8" s="1276"/>
      <c r="AC8" s="1277"/>
      <c r="AD8" s="1274"/>
      <c r="AE8" s="1278"/>
      <c r="AF8" s="1205" t="s">
        <v>667</v>
      </c>
      <c r="AG8" s="1236"/>
      <c r="AH8" s="1206" t="s">
        <v>668</v>
      </c>
      <c r="AI8" s="1237"/>
      <c r="AJ8" s="2622"/>
      <c r="AK8" s="2622"/>
      <c r="AL8" s="2622"/>
      <c r="AM8" s="2622"/>
      <c r="AN8" s="2622"/>
      <c r="AO8" s="2622"/>
      <c r="AP8" s="2623"/>
      <c r="AQ8" s="2622"/>
      <c r="AR8" s="2622"/>
      <c r="AS8" s="2622"/>
      <c r="AT8" s="2622"/>
      <c r="AU8" s="2621"/>
      <c r="AV8" s="1205" t="s">
        <v>667</v>
      </c>
      <c r="AW8" s="1236"/>
      <c r="AX8" s="1206" t="s">
        <v>668</v>
      </c>
      <c r="AY8" s="1237"/>
    </row>
    <row r="9" spans="2:51" ht="15.6">
      <c r="B9" s="1208" t="s">
        <v>669</v>
      </c>
      <c r="C9" s="1209" t="str">
        <f>R9</f>
        <v>室内環境を快適・健康・安心にする</v>
      </c>
      <c r="D9" s="1210">
        <f>IF(I$8=0,0,G9/I$8)</f>
        <v>0.45</v>
      </c>
      <c r="E9" s="1210">
        <f>IF(J$8=0,0,H9/J$8)</f>
        <v>0</v>
      </c>
      <c r="F9" s="1279"/>
      <c r="G9" s="1224">
        <f t="shared" ref="G9:G66" si="2">K9*((S$7*S9)+(T$7*T9)+(U$7*U9)+(V$7*V9)+(W$7*W9)+(X$7*X9)+(Y$7*Y9)+(Z$7*Z9)+(AA$7*AA9))</f>
        <v>0.45</v>
      </c>
      <c r="H9" s="1224">
        <f>L9*((AB$7*AB9)+(AC$7*AC9)+(AD$7*AD9))</f>
        <v>0</v>
      </c>
      <c r="I9" s="1224">
        <f>G10+G20+G25+G28</f>
        <v>1</v>
      </c>
      <c r="J9" s="1224">
        <f>H10+H20+H25+H28</f>
        <v>0</v>
      </c>
      <c r="K9" s="1224">
        <f>IF(スコア!Q9=0,0,1)</f>
        <v>1</v>
      </c>
      <c r="L9" s="1224">
        <f>IF(スコア!O9=0,0,1)</f>
        <v>0</v>
      </c>
      <c r="M9" s="1224">
        <f t="shared" ref="M9:M50" si="3">(S$7*S9)+(T$7*T9)+(U$7*U9)+(V$7*V9)+(W$7*W9)+(X$7*X9)+(Y$7*Y9)+(Z$7*Z9)+(AA$7*AA9)</f>
        <v>0.45</v>
      </c>
      <c r="N9" s="1224">
        <f t="shared" ref="N9:N50" si="4">(AB$7*AB9)+(AC$7*AC9)+(AD$7*AD9)</f>
        <v>0</v>
      </c>
      <c r="O9" s="1280"/>
      <c r="P9" s="1281" t="str">
        <f t="shared" si="0"/>
        <v>QH1</v>
      </c>
      <c r="Q9" s="1281" t="str">
        <f t="shared" ref="Q9:Q17" si="5">IF($P$3=1,AG9,AW9)</f>
        <v>1</v>
      </c>
      <c r="R9" s="1281" t="str">
        <f t="shared" si="1"/>
        <v>室内環境を快適・健康・安心にする</v>
      </c>
      <c r="S9" s="1282">
        <f t="shared" ref="S9:S17" si="6">IF($P$3=1,AI9,AY9)</f>
        <v>0.45</v>
      </c>
      <c r="T9" s="1282"/>
      <c r="U9" s="1282"/>
      <c r="V9" s="1282"/>
      <c r="W9" s="1282"/>
      <c r="X9" s="1282"/>
      <c r="Y9" s="1282"/>
      <c r="Z9" s="1282"/>
      <c r="AA9" s="1282"/>
      <c r="AB9" s="1283"/>
      <c r="AC9" s="1282"/>
      <c r="AD9" s="1282"/>
      <c r="AE9" s="1269"/>
      <c r="AF9" s="1208" t="s">
        <v>669</v>
      </c>
      <c r="AG9" s="1208" t="s">
        <v>547</v>
      </c>
      <c r="AH9" s="1209" t="s">
        <v>670</v>
      </c>
      <c r="AI9" s="1238">
        <v>0.45</v>
      </c>
      <c r="AJ9" s="1235"/>
      <c r="AK9" s="1235"/>
      <c r="AL9" s="1235"/>
      <c r="AM9" s="1235"/>
      <c r="AN9" s="1235"/>
      <c r="AO9" s="1235"/>
      <c r="AP9" s="1272"/>
      <c r="AQ9" s="1235"/>
      <c r="AR9" s="1235"/>
      <c r="AS9" s="1235"/>
      <c r="AT9" s="1235"/>
      <c r="AU9" s="2621"/>
      <c r="AV9" s="1208" t="s">
        <v>669</v>
      </c>
      <c r="AW9" s="1208" t="s">
        <v>547</v>
      </c>
      <c r="AX9" s="1209" t="s">
        <v>670</v>
      </c>
      <c r="AY9" s="1238">
        <v>0.45</v>
      </c>
    </row>
    <row r="10" spans="2:51">
      <c r="B10" s="1211">
        <f>P10</f>
        <v>1</v>
      </c>
      <c r="C10" s="1212" t="str">
        <f t="shared" ref="C10:C33" si="7">R10</f>
        <v>暑さ・寒さ</v>
      </c>
      <c r="D10" s="1213">
        <f>IF(I$9=0,0,G10/I$9)</f>
        <v>0.5</v>
      </c>
      <c r="E10" s="1213">
        <f>IF(J$9=0,0,H10/J$9)</f>
        <v>0</v>
      </c>
      <c r="F10" s="1279"/>
      <c r="G10" s="1218">
        <f>K10*((S$7*S10)+(T$7*T10)+(U$7*U10)+(V$7*V10)+(W$7*W10)+(X$7*X10)+(Y$7*Y10)+(Z$7*Z10)+(AA$7*AA10))</f>
        <v>0.5</v>
      </c>
      <c r="H10" s="1218">
        <f t="shared" ref="H10:H66" si="8">L10*((AB$7*AB10)+(AC$7*AC10)+(AD$7*AD10))</f>
        <v>0</v>
      </c>
      <c r="I10" s="1218">
        <f>G11+G14+G17</f>
        <v>1</v>
      </c>
      <c r="J10" s="1220">
        <f>H11+H14+H17</f>
        <v>0</v>
      </c>
      <c r="K10" s="1218">
        <f>IF(スコア!M10=0,0,1)</f>
        <v>1</v>
      </c>
      <c r="L10" s="1218">
        <f>IF(スコア!O10=0,0,1)</f>
        <v>0</v>
      </c>
      <c r="M10" s="1218">
        <f t="shared" si="3"/>
        <v>0.5</v>
      </c>
      <c r="N10" s="1218">
        <f t="shared" si="4"/>
        <v>0</v>
      </c>
      <c r="O10" s="1280"/>
      <c r="P10" s="1211">
        <f t="shared" si="0"/>
        <v>1</v>
      </c>
      <c r="Q10" s="1211" t="str">
        <f t="shared" si="5"/>
        <v>1.1</v>
      </c>
      <c r="R10" s="1211" t="str">
        <f t="shared" si="1"/>
        <v>暑さ・寒さ</v>
      </c>
      <c r="S10" s="1284">
        <f t="shared" si="6"/>
        <v>0.5</v>
      </c>
      <c r="T10" s="1284"/>
      <c r="U10" s="1284"/>
      <c r="V10" s="1284"/>
      <c r="W10" s="1284"/>
      <c r="X10" s="1284"/>
      <c r="Y10" s="1284"/>
      <c r="Z10" s="1285"/>
      <c r="AA10" s="1284"/>
      <c r="AB10" s="1286"/>
      <c r="AC10" s="1284"/>
      <c r="AD10" s="1284"/>
      <c r="AE10" s="1269"/>
      <c r="AF10" s="1239">
        <v>1</v>
      </c>
      <c r="AG10" s="1239" t="s">
        <v>548</v>
      </c>
      <c r="AH10" s="1212" t="s">
        <v>500</v>
      </c>
      <c r="AI10" s="1240">
        <v>0.5</v>
      </c>
      <c r="AJ10" s="1235"/>
      <c r="AK10" s="1235"/>
      <c r="AL10" s="1235"/>
      <c r="AM10" s="1235"/>
      <c r="AN10" s="1235"/>
      <c r="AO10" s="1235"/>
      <c r="AP10" s="1272"/>
      <c r="AQ10" s="1235"/>
      <c r="AR10" s="1235"/>
      <c r="AS10" s="1235"/>
      <c r="AT10" s="1235"/>
      <c r="AU10" s="2621"/>
      <c r="AV10" s="1239">
        <v>1</v>
      </c>
      <c r="AW10" s="1239" t="s">
        <v>548</v>
      </c>
      <c r="AX10" s="1212" t="s">
        <v>500</v>
      </c>
      <c r="AY10" s="1240">
        <v>0.4</v>
      </c>
    </row>
    <row r="11" spans="2:51">
      <c r="B11" s="1214">
        <f t="shared" ref="B11:B33" si="9">P11</f>
        <v>1.1000000000000001</v>
      </c>
      <c r="C11" s="1215" t="str">
        <f t="shared" si="7"/>
        <v>基本性能</v>
      </c>
      <c r="D11" s="1216">
        <f>IF(I$10=0,0,G11/I$10)</f>
        <v>0.5</v>
      </c>
      <c r="E11" s="1216">
        <f>IF(J$10=0,0,H11/J$10)</f>
        <v>0</v>
      </c>
      <c r="F11" s="681"/>
      <c r="G11" s="1216">
        <f t="shared" si="2"/>
        <v>0.5</v>
      </c>
      <c r="H11" s="1225">
        <f t="shared" si="8"/>
        <v>0</v>
      </c>
      <c r="I11" s="1216">
        <f>SUM(G12:G13)</f>
        <v>1</v>
      </c>
      <c r="J11" s="1220">
        <f>SUM(H12:H13)</f>
        <v>0</v>
      </c>
      <c r="K11" s="1225">
        <f>IF(スコア!M11=0,0,1)</f>
        <v>1</v>
      </c>
      <c r="L11" s="1225">
        <f>IF(スコア!O11=0,0,1)</f>
        <v>0</v>
      </c>
      <c r="M11" s="1225">
        <f t="shared" si="3"/>
        <v>0.5</v>
      </c>
      <c r="N11" s="1225">
        <f t="shared" si="4"/>
        <v>0</v>
      </c>
      <c r="O11" s="1262"/>
      <c r="P11" s="1214">
        <f t="shared" si="0"/>
        <v>1.1000000000000001</v>
      </c>
      <c r="Q11" s="1214" t="str">
        <f t="shared" si="5"/>
        <v>1.1.1</v>
      </c>
      <c r="R11" s="1214" t="str">
        <f t="shared" si="1"/>
        <v>基本性能</v>
      </c>
      <c r="S11" s="1287">
        <f>IF($P$3=1,AI11,AY11)</f>
        <v>0.5</v>
      </c>
      <c r="T11" s="1287"/>
      <c r="U11" s="1287"/>
      <c r="V11" s="1287"/>
      <c r="W11" s="1287"/>
      <c r="X11" s="1287"/>
      <c r="Y11" s="1287"/>
      <c r="Z11" s="1287"/>
      <c r="AA11" s="1287"/>
      <c r="AB11" s="1288"/>
      <c r="AC11" s="1287"/>
      <c r="AD11" s="1287"/>
      <c r="AE11" s="1269"/>
      <c r="AF11" s="1214">
        <v>1.1000000000000001</v>
      </c>
      <c r="AG11" s="1241" t="s">
        <v>492</v>
      </c>
      <c r="AH11" s="1215" t="s">
        <v>501</v>
      </c>
      <c r="AI11" s="1242">
        <v>0.5</v>
      </c>
      <c r="AJ11" s="1235"/>
      <c r="AK11" s="1235"/>
      <c r="AL11" s="1235"/>
      <c r="AM11" s="1235"/>
      <c r="AN11" s="1235"/>
      <c r="AO11" s="1235"/>
      <c r="AP11" s="1272"/>
      <c r="AQ11" s="1235"/>
      <c r="AR11" s="1235"/>
      <c r="AS11" s="1235"/>
      <c r="AT11" s="1235"/>
      <c r="AU11" s="2621"/>
      <c r="AV11" s="1214">
        <v>1.1000000000000001</v>
      </c>
      <c r="AW11" s="1241" t="s">
        <v>492</v>
      </c>
      <c r="AX11" s="1215" t="s">
        <v>501</v>
      </c>
      <c r="AY11" s="1242">
        <v>0.5</v>
      </c>
    </row>
    <row r="12" spans="2:51">
      <c r="B12" s="1214" t="str">
        <f t="shared" si="9"/>
        <v>1.1.1</v>
      </c>
      <c r="C12" s="1215" t="str">
        <f t="shared" si="7"/>
        <v>断熱等性能の確保</v>
      </c>
      <c r="D12" s="1216">
        <f>IF(I$11=0,0,G12/I$11)</f>
        <v>0.8</v>
      </c>
      <c r="E12" s="1216">
        <f>IF(J$11=0,0,H12/J$11)</f>
        <v>0</v>
      </c>
      <c r="F12" s="681"/>
      <c r="G12" s="1216">
        <f t="shared" si="2"/>
        <v>0.8</v>
      </c>
      <c r="H12" s="1225">
        <f t="shared" si="8"/>
        <v>0</v>
      </c>
      <c r="I12" s="1216"/>
      <c r="J12" s="1220"/>
      <c r="K12" s="1225">
        <f>IF(スコア!M12=0,0,1)</f>
        <v>1</v>
      </c>
      <c r="L12" s="1225">
        <f>IF(スコア!O12=0,0,1)</f>
        <v>0</v>
      </c>
      <c r="M12" s="1225">
        <f t="shared" si="3"/>
        <v>0.8</v>
      </c>
      <c r="N12" s="1225">
        <f t="shared" si="4"/>
        <v>0</v>
      </c>
      <c r="O12" s="1262"/>
      <c r="P12" s="1214" t="str">
        <f t="shared" si="0"/>
        <v>1.1.1</v>
      </c>
      <c r="Q12" s="1214" t="str">
        <f t="shared" si="5"/>
        <v>1.1.1.1</v>
      </c>
      <c r="R12" s="1214" t="str">
        <f t="shared" si="1"/>
        <v>断熱等性能の確保</v>
      </c>
      <c r="S12" s="1287">
        <f>IF($P$3=1,AI12,AY12)</f>
        <v>0.8</v>
      </c>
      <c r="T12" s="1287"/>
      <c r="U12" s="1287"/>
      <c r="V12" s="1287"/>
      <c r="W12" s="1287"/>
      <c r="X12" s="1287"/>
      <c r="Y12" s="1287"/>
      <c r="Z12" s="1287"/>
      <c r="AA12" s="1287"/>
      <c r="AB12" s="1288"/>
      <c r="AC12" s="1287"/>
      <c r="AD12" s="1287"/>
      <c r="AE12" s="1269"/>
      <c r="AF12" s="1214" t="s">
        <v>492</v>
      </c>
      <c r="AG12" s="1241" t="s">
        <v>549</v>
      </c>
      <c r="AH12" s="1215" t="s">
        <v>961</v>
      </c>
      <c r="AI12" s="1242">
        <v>0.8</v>
      </c>
      <c r="AJ12" s="1235"/>
      <c r="AK12" s="1235"/>
      <c r="AL12" s="1235"/>
      <c r="AM12" s="1235"/>
      <c r="AN12" s="1235"/>
      <c r="AO12" s="1235"/>
      <c r="AP12" s="1272"/>
      <c r="AQ12" s="1235"/>
      <c r="AR12" s="1235"/>
      <c r="AS12" s="1235"/>
      <c r="AT12" s="1235"/>
      <c r="AU12" s="2621"/>
      <c r="AV12" s="1214" t="s">
        <v>492</v>
      </c>
      <c r="AW12" s="1241" t="s">
        <v>549</v>
      </c>
      <c r="AX12" s="1215" t="s">
        <v>961</v>
      </c>
      <c r="AY12" s="1242">
        <v>0.8</v>
      </c>
    </row>
    <row r="13" spans="2:51">
      <c r="B13" s="1214" t="str">
        <f t="shared" si="9"/>
        <v>1.1.2</v>
      </c>
      <c r="C13" s="1215" t="str">
        <f t="shared" si="7"/>
        <v>日射の調整機能</v>
      </c>
      <c r="D13" s="1216">
        <f>IF(I$11=0,0,G13/I$11)</f>
        <v>0.2</v>
      </c>
      <c r="E13" s="1216">
        <f>IF(J$11=0,0,H13/J$11)</f>
        <v>0</v>
      </c>
      <c r="F13" s="681"/>
      <c r="G13" s="1216">
        <f t="shared" si="2"/>
        <v>0.2</v>
      </c>
      <c r="H13" s="1225">
        <f t="shared" si="8"/>
        <v>0</v>
      </c>
      <c r="I13" s="1216"/>
      <c r="J13" s="1220"/>
      <c r="K13" s="1225">
        <f>IF(スコア!M13=0,0,1)</f>
        <v>1</v>
      </c>
      <c r="L13" s="1225">
        <f>IF(スコア!O13=0,0,1)</f>
        <v>0</v>
      </c>
      <c r="M13" s="1225">
        <f>(S$7*S13)+(T$7*T13)+(U$7*U13)+(V$7*V13)+(W$7*W13)+(X$7*X13)+(Y$7*Y13)+(Z$7*Z13)+(AA$7*AA13)</f>
        <v>0.2</v>
      </c>
      <c r="N13" s="1225">
        <f>(AB$7*AB13)+(AC$7*AC13)+(AD$7*AD13)</f>
        <v>0</v>
      </c>
      <c r="O13" s="1262"/>
      <c r="P13" s="1214" t="str">
        <f t="shared" si="0"/>
        <v>1.1.2</v>
      </c>
      <c r="Q13" s="1214" t="str">
        <f t="shared" si="5"/>
        <v>1.1.1.1</v>
      </c>
      <c r="R13" s="1214" t="str">
        <f t="shared" si="1"/>
        <v>日射の調整機能</v>
      </c>
      <c r="S13" s="1287">
        <f>IF($P$3=1,AI13,AY13)</f>
        <v>0.2</v>
      </c>
      <c r="T13" s="1287"/>
      <c r="U13" s="1287"/>
      <c r="V13" s="1287"/>
      <c r="W13" s="1287"/>
      <c r="X13" s="1287"/>
      <c r="Y13" s="1287"/>
      <c r="Z13" s="1287"/>
      <c r="AA13" s="1287"/>
      <c r="AB13" s="1288"/>
      <c r="AC13" s="1287"/>
      <c r="AD13" s="1287"/>
      <c r="AE13" s="1269"/>
      <c r="AF13" s="1214" t="s">
        <v>493</v>
      </c>
      <c r="AG13" s="1241" t="s">
        <v>549</v>
      </c>
      <c r="AH13" s="1215" t="s">
        <v>502</v>
      </c>
      <c r="AI13" s="1242">
        <v>0.2</v>
      </c>
      <c r="AJ13" s="1235"/>
      <c r="AK13" s="1235"/>
      <c r="AL13" s="1235"/>
      <c r="AM13" s="1235"/>
      <c r="AN13" s="1235"/>
      <c r="AO13" s="1235"/>
      <c r="AP13" s="1272"/>
      <c r="AQ13" s="1235"/>
      <c r="AR13" s="1235"/>
      <c r="AS13" s="1235"/>
      <c r="AT13" s="1235"/>
      <c r="AU13" s="2621"/>
      <c r="AV13" s="1214" t="s">
        <v>493</v>
      </c>
      <c r="AW13" s="1241" t="s">
        <v>549</v>
      </c>
      <c r="AX13" s="1215" t="s">
        <v>502</v>
      </c>
      <c r="AY13" s="1242">
        <v>0.2</v>
      </c>
    </row>
    <row r="14" spans="2:51">
      <c r="B14" s="1217">
        <f t="shared" si="9"/>
        <v>1.2</v>
      </c>
      <c r="C14" s="9" t="str">
        <f t="shared" si="7"/>
        <v>夏の暑さを防ぐ</v>
      </c>
      <c r="D14" s="1216">
        <f>IF(I$10=0,0,G14/I$10)</f>
        <v>0.25</v>
      </c>
      <c r="E14" s="1216">
        <f>IF(J$10=0,0,H14/J$10)</f>
        <v>0</v>
      </c>
      <c r="F14" s="681"/>
      <c r="G14" s="1216">
        <f t="shared" si="2"/>
        <v>0.25</v>
      </c>
      <c r="H14" s="1225">
        <f t="shared" si="8"/>
        <v>0</v>
      </c>
      <c r="I14" s="1216">
        <f>SUM(G15:G16)</f>
        <v>1</v>
      </c>
      <c r="J14" s="1220">
        <f>SUM(H15:H16)</f>
        <v>0</v>
      </c>
      <c r="K14" s="1225">
        <f>IF(スコア!M14=0,0,1)</f>
        <v>1</v>
      </c>
      <c r="L14" s="1225">
        <f>IF(スコア!O14=0,0,1)</f>
        <v>0</v>
      </c>
      <c r="M14" s="1225">
        <f>(S$7*S14)+(T$7*T14)+(U$7*U14)+(V$7*V14)+(W$7*W14)+(X$7*X14)+(Y$7*Y14)+(Z$7*Z14)+(AA$7*AA14)</f>
        <v>0.25</v>
      </c>
      <c r="N14" s="1225">
        <f t="shared" si="4"/>
        <v>0</v>
      </c>
      <c r="O14" s="1262"/>
      <c r="P14" s="1214">
        <f t="shared" si="0"/>
        <v>1.2</v>
      </c>
      <c r="Q14" s="1214" t="str">
        <f t="shared" si="5"/>
        <v>1.1.1</v>
      </c>
      <c r="R14" s="1214" t="str">
        <f>IF($P$3=1,AH14,AX14)</f>
        <v>夏の暑さを防ぐ</v>
      </c>
      <c r="S14" s="1287">
        <f t="shared" si="6"/>
        <v>0.25</v>
      </c>
      <c r="T14" s="1287"/>
      <c r="U14" s="1287"/>
      <c r="V14" s="1287"/>
      <c r="W14" s="1287"/>
      <c r="X14" s="1287"/>
      <c r="Y14" s="1287"/>
      <c r="Z14" s="1287"/>
      <c r="AA14" s="1287"/>
      <c r="AB14" s="1288"/>
      <c r="AC14" s="1287"/>
      <c r="AD14" s="1287"/>
      <c r="AE14" s="1269"/>
      <c r="AF14" s="1214">
        <v>1.2</v>
      </c>
      <c r="AG14" s="1241" t="s">
        <v>492</v>
      </c>
      <c r="AH14" s="9" t="s">
        <v>503</v>
      </c>
      <c r="AI14" s="1242">
        <v>0.25</v>
      </c>
      <c r="AJ14" s="1235"/>
      <c r="AK14" s="1235"/>
      <c r="AL14" s="1235"/>
      <c r="AM14" s="1235"/>
      <c r="AN14" s="1235"/>
      <c r="AO14" s="1235"/>
      <c r="AP14" s="1272"/>
      <c r="AQ14" s="1235"/>
      <c r="AR14" s="1235"/>
      <c r="AS14" s="1235"/>
      <c r="AT14" s="1235"/>
      <c r="AU14" s="2621"/>
      <c r="AV14" s="1214">
        <v>1.2</v>
      </c>
      <c r="AW14" s="1241" t="s">
        <v>492</v>
      </c>
      <c r="AX14" s="9" t="s">
        <v>503</v>
      </c>
      <c r="AY14" s="1242">
        <v>0.25</v>
      </c>
    </row>
    <row r="15" spans="2:51">
      <c r="B15" s="1217" t="str">
        <f t="shared" si="9"/>
        <v>1.2.1</v>
      </c>
      <c r="C15" s="9" t="str">
        <f t="shared" si="7"/>
        <v>風を取り込み、熱気を逃がす</v>
      </c>
      <c r="D15" s="1216">
        <f>IF(I$14=0,0,G15/I$14)</f>
        <v>0.5</v>
      </c>
      <c r="E15" s="1216">
        <f>IF(J$14=0,0,H15/J$14)</f>
        <v>0</v>
      </c>
      <c r="F15" s="681"/>
      <c r="G15" s="1216">
        <f t="shared" si="2"/>
        <v>0.5</v>
      </c>
      <c r="H15" s="1225">
        <f t="shared" si="8"/>
        <v>0</v>
      </c>
      <c r="I15" s="1216"/>
      <c r="J15" s="1220"/>
      <c r="K15" s="1225">
        <f>IF(スコア!M15=0,0,1)</f>
        <v>1</v>
      </c>
      <c r="L15" s="1225">
        <f>IF(スコア!O15=0,0,1)</f>
        <v>0</v>
      </c>
      <c r="M15" s="1225">
        <f t="shared" si="3"/>
        <v>0.5</v>
      </c>
      <c r="N15" s="1225">
        <f t="shared" si="4"/>
        <v>0</v>
      </c>
      <c r="O15" s="1262"/>
      <c r="P15" s="1214" t="str">
        <f t="shared" si="0"/>
        <v>1.2.1</v>
      </c>
      <c r="Q15" s="1214" t="str">
        <f t="shared" si="5"/>
        <v>1.1.1.2</v>
      </c>
      <c r="R15" s="1214" t="str">
        <f t="shared" si="1"/>
        <v>風を取り込み、熱気を逃がす</v>
      </c>
      <c r="S15" s="1287">
        <f t="shared" si="6"/>
        <v>0.5</v>
      </c>
      <c r="T15" s="1287"/>
      <c r="U15" s="1287"/>
      <c r="V15" s="1287"/>
      <c r="W15" s="1287"/>
      <c r="X15" s="1287"/>
      <c r="Y15" s="1287"/>
      <c r="Z15" s="1289"/>
      <c r="AA15" s="1287"/>
      <c r="AB15" s="1288"/>
      <c r="AC15" s="1287"/>
      <c r="AD15" s="1287"/>
      <c r="AE15" s="1269"/>
      <c r="AF15" s="1214" t="s">
        <v>550</v>
      </c>
      <c r="AG15" s="1241" t="s">
        <v>551</v>
      </c>
      <c r="AH15" s="9" t="s">
        <v>504</v>
      </c>
      <c r="AI15" s="1242">
        <v>0.5</v>
      </c>
      <c r="AJ15" s="1235"/>
      <c r="AK15" s="1235"/>
      <c r="AL15" s="1235"/>
      <c r="AM15" s="1235"/>
      <c r="AN15" s="1235"/>
      <c r="AO15" s="1235"/>
      <c r="AP15" s="1272"/>
      <c r="AQ15" s="1235"/>
      <c r="AR15" s="1235"/>
      <c r="AS15" s="1235"/>
      <c r="AT15" s="1235"/>
      <c r="AU15" s="2621"/>
      <c r="AV15" s="1214" t="s">
        <v>550</v>
      </c>
      <c r="AW15" s="1241" t="s">
        <v>551</v>
      </c>
      <c r="AX15" s="9" t="s">
        <v>504</v>
      </c>
      <c r="AY15" s="1242">
        <v>0.5</v>
      </c>
    </row>
    <row r="16" spans="2:51">
      <c r="B16" s="1217" t="str">
        <f t="shared" si="9"/>
        <v>1.2.2</v>
      </c>
      <c r="C16" s="9" t="str">
        <f t="shared" si="7"/>
        <v>適切な冷房計画</v>
      </c>
      <c r="D16" s="1216">
        <f>IF(I$14=0,0,G16/I$14)</f>
        <v>0.5</v>
      </c>
      <c r="E16" s="1216">
        <f>IF(J$14=0,0,H16/J$14)</f>
        <v>0</v>
      </c>
      <c r="F16" s="681"/>
      <c r="G16" s="1216">
        <f t="shared" si="2"/>
        <v>0.5</v>
      </c>
      <c r="H16" s="1225">
        <f t="shared" si="8"/>
        <v>0</v>
      </c>
      <c r="I16" s="1216"/>
      <c r="J16" s="1225"/>
      <c r="K16" s="1225">
        <f>IF(スコア!M16=0,0,1)</f>
        <v>1</v>
      </c>
      <c r="L16" s="1225">
        <f>IF(スコア!O16=0,0,1)</f>
        <v>0</v>
      </c>
      <c r="M16" s="1225">
        <f t="shared" si="3"/>
        <v>0.5</v>
      </c>
      <c r="N16" s="1225">
        <f t="shared" si="4"/>
        <v>0</v>
      </c>
      <c r="O16" s="1262"/>
      <c r="P16" s="1214" t="str">
        <f t="shared" si="0"/>
        <v>1.2.2</v>
      </c>
      <c r="Q16" s="1214" t="str">
        <f t="shared" si="5"/>
        <v>1.1.1.2</v>
      </c>
      <c r="R16" s="1214" t="str">
        <f t="shared" si="1"/>
        <v>適切な冷房計画</v>
      </c>
      <c r="S16" s="1287">
        <f t="shared" si="6"/>
        <v>0.5</v>
      </c>
      <c r="T16" s="1287"/>
      <c r="U16" s="1287"/>
      <c r="V16" s="1287"/>
      <c r="W16" s="1287"/>
      <c r="X16" s="1287"/>
      <c r="Y16" s="1287"/>
      <c r="Z16" s="1289"/>
      <c r="AA16" s="1287"/>
      <c r="AB16" s="1288"/>
      <c r="AC16" s="1287"/>
      <c r="AD16" s="1287"/>
      <c r="AE16" s="1269"/>
      <c r="AF16" s="1214" t="s">
        <v>552</v>
      </c>
      <c r="AG16" s="1241" t="s">
        <v>551</v>
      </c>
      <c r="AH16" s="9" t="s">
        <v>505</v>
      </c>
      <c r="AI16" s="1242">
        <v>0.5</v>
      </c>
      <c r="AJ16" s="1235"/>
      <c r="AK16" s="1235"/>
      <c r="AL16" s="1235"/>
      <c r="AM16" s="1235"/>
      <c r="AN16" s="1235"/>
      <c r="AO16" s="1235"/>
      <c r="AP16" s="1272"/>
      <c r="AQ16" s="1235"/>
      <c r="AR16" s="1235"/>
      <c r="AS16" s="1235"/>
      <c r="AT16" s="1235"/>
      <c r="AU16" s="2621"/>
      <c r="AV16" s="1214" t="s">
        <v>552</v>
      </c>
      <c r="AW16" s="1241" t="s">
        <v>551</v>
      </c>
      <c r="AX16" s="9" t="s">
        <v>505</v>
      </c>
      <c r="AY16" s="1242">
        <v>0.5</v>
      </c>
    </row>
    <row r="17" spans="1:51">
      <c r="B17" s="1217">
        <f t="shared" si="9"/>
        <v>1.3</v>
      </c>
      <c r="C17" s="9" t="str">
        <f t="shared" si="7"/>
        <v>冬の寒さを防ぐ</v>
      </c>
      <c r="D17" s="1216">
        <f>IF(I$10=0,0,G17/I$10)</f>
        <v>0.25</v>
      </c>
      <c r="E17" s="1216">
        <f>IF(J$10=0,0,H17/J$10)</f>
        <v>0</v>
      </c>
      <c r="F17" s="681"/>
      <c r="G17" s="1216">
        <f t="shared" si="2"/>
        <v>0.25</v>
      </c>
      <c r="H17" s="1225">
        <f t="shared" si="8"/>
        <v>0</v>
      </c>
      <c r="I17" s="1216">
        <f>SUM(G18:G19)</f>
        <v>1</v>
      </c>
      <c r="J17" s="1220">
        <f>SUM(H18:H19)</f>
        <v>0</v>
      </c>
      <c r="K17" s="1225">
        <f>IF(スコア!M17=0,0,1)</f>
        <v>1</v>
      </c>
      <c r="L17" s="1225">
        <f>IF(スコア!O17=0,0,1)</f>
        <v>0</v>
      </c>
      <c r="M17" s="1225">
        <f t="shared" si="3"/>
        <v>0.25</v>
      </c>
      <c r="N17" s="1225">
        <f t="shared" si="4"/>
        <v>0</v>
      </c>
      <c r="O17" s="1262"/>
      <c r="P17" s="1214">
        <f t="shared" si="0"/>
        <v>1.3</v>
      </c>
      <c r="Q17" s="1214" t="str">
        <f t="shared" si="5"/>
        <v>1.1.1</v>
      </c>
      <c r="R17" s="1214" t="str">
        <f t="shared" si="1"/>
        <v>冬の寒さを防ぐ</v>
      </c>
      <c r="S17" s="1287">
        <f t="shared" si="6"/>
        <v>0.25</v>
      </c>
      <c r="T17" s="1287"/>
      <c r="U17" s="1287"/>
      <c r="V17" s="1287"/>
      <c r="W17" s="1287"/>
      <c r="X17" s="1287"/>
      <c r="Y17" s="1287"/>
      <c r="Z17" s="1289"/>
      <c r="AA17" s="1287"/>
      <c r="AB17" s="1288"/>
      <c r="AC17" s="1287"/>
      <c r="AD17" s="1287"/>
      <c r="AE17" s="1269"/>
      <c r="AF17" s="1214">
        <v>1.3</v>
      </c>
      <c r="AG17" s="1241" t="s">
        <v>492</v>
      </c>
      <c r="AH17" s="9" t="s">
        <v>506</v>
      </c>
      <c r="AI17" s="1242">
        <v>0.25</v>
      </c>
      <c r="AJ17" s="1235"/>
      <c r="AK17" s="1235"/>
      <c r="AL17" s="1235"/>
      <c r="AM17" s="1235"/>
      <c r="AN17" s="1235"/>
      <c r="AO17" s="1235"/>
      <c r="AP17" s="1272"/>
      <c r="AQ17" s="1235"/>
      <c r="AR17" s="1235"/>
      <c r="AS17" s="1235"/>
      <c r="AT17" s="1235"/>
      <c r="AU17" s="2621"/>
      <c r="AV17" s="1214">
        <v>1.3</v>
      </c>
      <c r="AW17" s="1241" t="s">
        <v>492</v>
      </c>
      <c r="AX17" s="9" t="s">
        <v>506</v>
      </c>
      <c r="AY17" s="1242">
        <v>0.25</v>
      </c>
    </row>
    <row r="18" spans="1:51">
      <c r="B18" s="1217" t="str">
        <f t="shared" si="9"/>
        <v>1.3.1</v>
      </c>
      <c r="C18" s="9" t="str">
        <f t="shared" si="7"/>
        <v>適切な暖房計画</v>
      </c>
      <c r="D18" s="1216">
        <f>IF(I$17=0,0,G18/I$17)</f>
        <v>1</v>
      </c>
      <c r="E18" s="1216">
        <f>IF(J$17=0,0,H18/J$17)</f>
        <v>0</v>
      </c>
      <c r="F18" s="681"/>
      <c r="G18" s="1216">
        <f t="shared" si="2"/>
        <v>1</v>
      </c>
      <c r="H18" s="1225">
        <f t="shared" si="8"/>
        <v>0</v>
      </c>
      <c r="I18" s="1216"/>
      <c r="J18" s="1225"/>
      <c r="K18" s="1225">
        <f>IF(スコア!M18=0,0,1)</f>
        <v>1</v>
      </c>
      <c r="L18" s="1225">
        <f>IF(スコア!O18=0,0,1)</f>
        <v>0</v>
      </c>
      <c r="M18" s="1225">
        <f t="shared" si="3"/>
        <v>1</v>
      </c>
      <c r="N18" s="1225">
        <f t="shared" si="4"/>
        <v>0</v>
      </c>
      <c r="O18" s="1262"/>
      <c r="P18" s="1214" t="str">
        <f t="shared" si="0"/>
        <v>1.3.1</v>
      </c>
      <c r="Q18" s="1214" t="str">
        <f t="shared" ref="Q18:S19" si="10">IF($P$3=1,AG18,AW18)</f>
        <v>1.1.1.3</v>
      </c>
      <c r="R18" s="1214" t="str">
        <f t="shared" si="10"/>
        <v>適切な暖房計画</v>
      </c>
      <c r="S18" s="1287">
        <f t="shared" si="10"/>
        <v>1</v>
      </c>
      <c r="T18" s="1287"/>
      <c r="U18" s="1287"/>
      <c r="V18" s="1287"/>
      <c r="W18" s="1287"/>
      <c r="X18" s="1287"/>
      <c r="Y18" s="1287"/>
      <c r="Z18" s="1289"/>
      <c r="AA18" s="1287"/>
      <c r="AB18" s="1288"/>
      <c r="AC18" s="1287"/>
      <c r="AD18" s="1287"/>
      <c r="AE18" s="1269"/>
      <c r="AF18" s="1214" t="s">
        <v>553</v>
      </c>
      <c r="AG18" s="1241" t="s">
        <v>49</v>
      </c>
      <c r="AH18" s="9" t="s">
        <v>507</v>
      </c>
      <c r="AI18" s="1242">
        <v>1</v>
      </c>
      <c r="AJ18" s="1235"/>
      <c r="AK18" s="1235"/>
      <c r="AL18" s="1235"/>
      <c r="AM18" s="1235"/>
      <c r="AN18" s="1235"/>
      <c r="AO18" s="1235"/>
      <c r="AP18" s="1272"/>
      <c r="AQ18" s="1235"/>
      <c r="AR18" s="1235"/>
      <c r="AS18" s="1235"/>
      <c r="AT18" s="1235"/>
      <c r="AU18" s="2621"/>
      <c r="AV18" s="1214" t="s">
        <v>553</v>
      </c>
      <c r="AW18" s="1241" t="s">
        <v>49</v>
      </c>
      <c r="AX18" s="9" t="s">
        <v>507</v>
      </c>
      <c r="AY18" s="1242">
        <v>1</v>
      </c>
    </row>
    <row r="19" spans="1:51">
      <c r="B19" s="1217" t="str">
        <f t="shared" si="9"/>
        <v>1.3.2</v>
      </c>
      <c r="C19" s="9" t="str">
        <f t="shared" si="7"/>
        <v>評価しない</v>
      </c>
      <c r="D19" s="1216">
        <f>IF(I$17=0,0,G19/I$17)</f>
        <v>0</v>
      </c>
      <c r="E19" s="1216">
        <f>IF(J$17=0,0,H19/J$17)</f>
        <v>0</v>
      </c>
      <c r="F19" s="681"/>
      <c r="G19" s="1216">
        <f t="shared" si="2"/>
        <v>0</v>
      </c>
      <c r="H19" s="1225">
        <f t="shared" si="8"/>
        <v>0</v>
      </c>
      <c r="I19" s="1216"/>
      <c r="J19" s="1225"/>
      <c r="K19" s="1225">
        <f>IF(スコア!M19=0,0,1)</f>
        <v>0</v>
      </c>
      <c r="L19" s="1225">
        <f>IF(スコア!O19=0,0,1)</f>
        <v>0</v>
      </c>
      <c r="M19" s="1225">
        <f t="shared" si="3"/>
        <v>0</v>
      </c>
      <c r="N19" s="1225">
        <f t="shared" si="4"/>
        <v>0</v>
      </c>
      <c r="O19" s="1262"/>
      <c r="P19" s="1214" t="str">
        <f t="shared" ref="P19" si="11">IF($P$3=1,AF19,AV19)</f>
        <v>1.3.2</v>
      </c>
      <c r="Q19" s="1214">
        <f t="shared" si="10"/>
        <v>0</v>
      </c>
      <c r="R19" s="1214" t="str">
        <f t="shared" si="10"/>
        <v>評価しない</v>
      </c>
      <c r="S19" s="1287">
        <f t="shared" si="10"/>
        <v>0</v>
      </c>
      <c r="T19" s="1287"/>
      <c r="U19" s="1287"/>
      <c r="V19" s="1287"/>
      <c r="W19" s="1287"/>
      <c r="X19" s="1287"/>
      <c r="Y19" s="1287"/>
      <c r="Z19" s="1289"/>
      <c r="AA19" s="1287"/>
      <c r="AB19" s="1288"/>
      <c r="AC19" s="1287"/>
      <c r="AD19" s="1287"/>
      <c r="AE19" s="1269"/>
      <c r="AF19" s="1214" t="s">
        <v>446</v>
      </c>
      <c r="AG19" s="1241"/>
      <c r="AH19" s="9" t="s">
        <v>97</v>
      </c>
      <c r="AI19" s="1242">
        <v>0</v>
      </c>
      <c r="AJ19" s="1235"/>
      <c r="AK19" s="1235"/>
      <c r="AL19" s="1235"/>
      <c r="AM19" s="1235"/>
      <c r="AN19" s="1235"/>
      <c r="AO19" s="1235"/>
      <c r="AP19" s="1272"/>
      <c r="AQ19" s="1235"/>
      <c r="AR19" s="1235"/>
      <c r="AS19" s="1235"/>
      <c r="AT19" s="1235"/>
      <c r="AU19" s="2621"/>
      <c r="AV19" s="1214" t="s">
        <v>446</v>
      </c>
      <c r="AW19" s="1241"/>
      <c r="AX19" s="9" t="s">
        <v>97</v>
      </c>
      <c r="AY19" s="1242">
        <v>0</v>
      </c>
    </row>
    <row r="20" spans="1:51">
      <c r="B20" s="1211">
        <f t="shared" si="9"/>
        <v>2</v>
      </c>
      <c r="C20" s="1212" t="str">
        <f t="shared" si="7"/>
        <v>健康と安全・安心</v>
      </c>
      <c r="D20" s="1213">
        <f>IF(I$9=0,0,G20/I$9)</f>
        <v>0.3</v>
      </c>
      <c r="E20" s="1213">
        <f>IF(J$9=0,0,H20/J$9)</f>
        <v>0</v>
      </c>
      <c r="F20" s="681"/>
      <c r="G20" s="1218">
        <f>K20*((S$7*S20)+(T$7*T20)+(U$7*U20)+(V$7*V20)+(W$7*W20)+(X$7*X20)+(Y$7*Y20)+(Z$7*Z20)+(AA$7*AA20))</f>
        <v>0.3</v>
      </c>
      <c r="H20" s="1218">
        <f t="shared" si="8"/>
        <v>0</v>
      </c>
      <c r="I20" s="1218">
        <f>G21+G22+G23+G24</f>
        <v>1</v>
      </c>
      <c r="J20" s="1218">
        <f>H21+H22+H23+H24</f>
        <v>0</v>
      </c>
      <c r="K20" s="1218">
        <f>IF(スコア!M20=0,0,1)</f>
        <v>1</v>
      </c>
      <c r="L20" s="1218">
        <f>IF(スコア!N20=0,0,1)</f>
        <v>1</v>
      </c>
      <c r="M20" s="1218">
        <f>(S$7*S20)+(T$7*T20)+(U$7*U20)+(V$7*V20)+(W$7*W20)+(X$7*X20)+(Y$7*Y20)+(Z$7*Z20)+(AA$7*AA20)</f>
        <v>0.3</v>
      </c>
      <c r="N20" s="1218">
        <f t="shared" si="4"/>
        <v>0</v>
      </c>
      <c r="O20" s="1262"/>
      <c r="P20" s="1211">
        <f t="shared" ref="P20:P37" si="12">IF($P$3=1,AF20,AV20)</f>
        <v>2</v>
      </c>
      <c r="Q20" s="1214" t="str">
        <f t="shared" ref="Q20:Q37" si="13">IF($P$3=1,AG20,AW20)</f>
        <v>1.1</v>
      </c>
      <c r="R20" s="1211" t="str">
        <f t="shared" ref="R20:R37" si="14">IF($P$3=1,AH20,AX20)</f>
        <v>健康と安全・安心</v>
      </c>
      <c r="S20" s="1284">
        <f t="shared" ref="S20:S42" si="15">IF($P$3=1,AI20,AY20)</f>
        <v>0.3</v>
      </c>
      <c r="T20" s="1284"/>
      <c r="U20" s="1284"/>
      <c r="V20" s="1284"/>
      <c r="W20" s="1284"/>
      <c r="X20" s="1284"/>
      <c r="Y20" s="1284"/>
      <c r="Z20" s="1290"/>
      <c r="AA20" s="1284"/>
      <c r="AB20" s="1286"/>
      <c r="AC20" s="1284"/>
      <c r="AD20" s="1284"/>
      <c r="AE20" s="1269"/>
      <c r="AF20" s="1239">
        <v>2</v>
      </c>
      <c r="AG20" s="1239" t="s">
        <v>548</v>
      </c>
      <c r="AH20" s="1212" t="s">
        <v>508</v>
      </c>
      <c r="AI20" s="1244">
        <v>0.3</v>
      </c>
      <c r="AJ20" s="1235"/>
      <c r="AK20" s="1235"/>
      <c r="AL20" s="1235"/>
      <c r="AM20" s="1235"/>
      <c r="AN20" s="1235"/>
      <c r="AO20" s="1235"/>
      <c r="AP20" s="1272"/>
      <c r="AQ20" s="1235"/>
      <c r="AR20" s="1235"/>
      <c r="AS20" s="1235"/>
      <c r="AT20" s="1235"/>
      <c r="AU20" s="2621"/>
      <c r="AV20" s="1239">
        <v>2</v>
      </c>
      <c r="AW20" s="1239" t="s">
        <v>548</v>
      </c>
      <c r="AX20" s="1212" t="s">
        <v>508</v>
      </c>
      <c r="AY20" s="1244">
        <v>0.25</v>
      </c>
    </row>
    <row r="21" spans="1:51">
      <c r="B21" s="1214">
        <f t="shared" si="9"/>
        <v>2.1</v>
      </c>
      <c r="C21" s="1214" t="str">
        <f t="shared" si="7"/>
        <v>化学汚染物質の対策</v>
      </c>
      <c r="D21" s="1216">
        <f t="shared" ref="D21:E22" si="16">IF(I$20=0,0,G21/I$20)</f>
        <v>0.25</v>
      </c>
      <c r="E21" s="1216">
        <f t="shared" si="16"/>
        <v>0</v>
      </c>
      <c r="F21" s="681"/>
      <c r="G21" s="1225">
        <f t="shared" si="2"/>
        <v>0.25</v>
      </c>
      <c r="H21" s="1225">
        <f t="shared" si="8"/>
        <v>0</v>
      </c>
      <c r="I21" s="1225"/>
      <c r="J21" s="1225"/>
      <c r="K21" s="1225">
        <f>IF(スコア!M21=0,0,1)</f>
        <v>1</v>
      </c>
      <c r="L21" s="1225">
        <f>IF(スコア!N21=0,0,1)</f>
        <v>1</v>
      </c>
      <c r="M21" s="1225">
        <f t="shared" si="3"/>
        <v>0.25</v>
      </c>
      <c r="N21" s="1225">
        <f t="shared" si="4"/>
        <v>0</v>
      </c>
      <c r="O21" s="1262"/>
      <c r="P21" s="1214">
        <f t="shared" si="12"/>
        <v>2.1</v>
      </c>
      <c r="Q21" s="1214" t="str">
        <f t="shared" si="13"/>
        <v>1.1.2</v>
      </c>
      <c r="R21" s="1214" t="str">
        <f t="shared" si="14"/>
        <v>化学汚染物質の対策</v>
      </c>
      <c r="S21" s="1287">
        <f t="shared" si="15"/>
        <v>0.25</v>
      </c>
      <c r="T21" s="1287"/>
      <c r="U21" s="1287"/>
      <c r="V21" s="1287"/>
      <c r="W21" s="1287"/>
      <c r="X21" s="1287"/>
      <c r="Y21" s="1287"/>
      <c r="Z21" s="1291"/>
      <c r="AA21" s="1287"/>
      <c r="AB21" s="1288"/>
      <c r="AC21" s="1287"/>
      <c r="AD21" s="1287"/>
      <c r="AE21" s="1269"/>
      <c r="AF21" s="1241">
        <v>2.1</v>
      </c>
      <c r="AG21" s="1241" t="s">
        <v>493</v>
      </c>
      <c r="AH21" s="1215" t="s">
        <v>509</v>
      </c>
      <c r="AI21" s="1242">
        <v>0.25</v>
      </c>
      <c r="AJ21" s="1235"/>
      <c r="AK21" s="1235"/>
      <c r="AL21" s="1235"/>
      <c r="AM21" s="1235"/>
      <c r="AN21" s="1235"/>
      <c r="AO21" s="1235"/>
      <c r="AP21" s="1272"/>
      <c r="AQ21" s="1235"/>
      <c r="AR21" s="1235"/>
      <c r="AS21" s="1235"/>
      <c r="AT21" s="1235"/>
      <c r="AU21" s="2621"/>
      <c r="AV21" s="1241">
        <v>2.1</v>
      </c>
      <c r="AW21" s="1241" t="s">
        <v>493</v>
      </c>
      <c r="AX21" s="1215" t="s">
        <v>509</v>
      </c>
      <c r="AY21" s="1242">
        <v>0.25</v>
      </c>
    </row>
    <row r="22" spans="1:51">
      <c r="B22" s="1214">
        <f t="shared" si="9"/>
        <v>2.2000000000000002</v>
      </c>
      <c r="C22" s="1215" t="str">
        <f t="shared" si="7"/>
        <v>適切な換気計画</v>
      </c>
      <c r="D22" s="1216">
        <f t="shared" si="16"/>
        <v>0.25</v>
      </c>
      <c r="E22" s="1216">
        <f t="shared" si="16"/>
        <v>0</v>
      </c>
      <c r="F22" s="681"/>
      <c r="G22" s="1225">
        <f t="shared" si="2"/>
        <v>0.25</v>
      </c>
      <c r="H22" s="1225">
        <f t="shared" si="8"/>
        <v>0</v>
      </c>
      <c r="I22" s="1225"/>
      <c r="J22" s="1225"/>
      <c r="K22" s="1225">
        <f>IF(スコア!M22=0,0,1)</f>
        <v>1</v>
      </c>
      <c r="L22" s="1225">
        <f>IF(スコア!N22=0,0,1)</f>
        <v>1</v>
      </c>
      <c r="M22" s="1225">
        <f t="shared" si="3"/>
        <v>0.25</v>
      </c>
      <c r="N22" s="1225">
        <f t="shared" si="4"/>
        <v>0</v>
      </c>
      <c r="O22" s="1262"/>
      <c r="P22" s="1214">
        <f t="shared" si="12"/>
        <v>2.2000000000000002</v>
      </c>
      <c r="Q22" s="1214" t="str">
        <f t="shared" si="13"/>
        <v>1.1.2</v>
      </c>
      <c r="R22" s="1214" t="str">
        <f t="shared" si="14"/>
        <v>適切な換気計画</v>
      </c>
      <c r="S22" s="1287">
        <f t="shared" si="15"/>
        <v>0.25</v>
      </c>
      <c r="T22" s="1287"/>
      <c r="U22" s="1287"/>
      <c r="V22" s="1287"/>
      <c r="W22" s="1287"/>
      <c r="X22" s="1287"/>
      <c r="Y22" s="1287"/>
      <c r="Z22" s="1291"/>
      <c r="AA22" s="1287"/>
      <c r="AB22" s="1288"/>
      <c r="AC22" s="1287"/>
      <c r="AD22" s="1287"/>
      <c r="AE22" s="1269"/>
      <c r="AF22" s="1241">
        <v>2.2000000000000002</v>
      </c>
      <c r="AG22" s="1241" t="s">
        <v>493</v>
      </c>
      <c r="AH22" s="1215" t="s">
        <v>736</v>
      </c>
      <c r="AI22" s="1242">
        <v>0.25</v>
      </c>
      <c r="AJ22" s="1235"/>
      <c r="AK22" s="1235"/>
      <c r="AL22" s="1235"/>
      <c r="AM22" s="1235"/>
      <c r="AN22" s="1235"/>
      <c r="AO22" s="1235"/>
      <c r="AP22" s="1272"/>
      <c r="AQ22" s="1235"/>
      <c r="AR22" s="1235"/>
      <c r="AS22" s="1235"/>
      <c r="AT22" s="1235"/>
      <c r="AU22" s="2621"/>
      <c r="AV22" s="1241">
        <v>2.2000000000000002</v>
      </c>
      <c r="AW22" s="1241" t="s">
        <v>493</v>
      </c>
      <c r="AX22" s="1215" t="s">
        <v>736</v>
      </c>
      <c r="AY22" s="1242">
        <v>0.25</v>
      </c>
    </row>
    <row r="23" spans="1:51" s="2133" customFormat="1">
      <c r="A23"/>
      <c r="B23" s="1241">
        <f t="shared" si="9"/>
        <v>2.2999999999999998</v>
      </c>
      <c r="C23" s="1215" t="str">
        <f t="shared" si="7"/>
        <v>感染症に備える</v>
      </c>
      <c r="D23" s="1216">
        <f t="shared" ref="D23" si="17">IF(I$20=0,0,G23/I$20)</f>
        <v>0.25</v>
      </c>
      <c r="E23" s="1216">
        <f t="shared" ref="E23" si="18">IF(J$20=0,0,H23/J$20)</f>
        <v>0</v>
      </c>
      <c r="F23" s="681"/>
      <c r="G23" s="1225">
        <f t="shared" ref="G23" si="19">K23*((S$7*S23)+(T$7*T23)+(U$7*U23)+(V$7*V23)+(W$7*W23)+(X$7*X23)+(Y$7*Y23)+(Z$7*Z23)+(AA$7*AA23))</f>
        <v>0.25</v>
      </c>
      <c r="H23" s="1225">
        <f t="shared" ref="H23" si="20">L23*((AB$7*AB23)+(AC$7*AC23)+(AD$7*AD23))</f>
        <v>0</v>
      </c>
      <c r="I23" s="1225"/>
      <c r="J23" s="1225"/>
      <c r="K23" s="1225">
        <f>IF(スコア!M23=0,0,1)</f>
        <v>1</v>
      </c>
      <c r="L23" s="1225">
        <f>IF(スコア!N23=0,0,1)</f>
        <v>1</v>
      </c>
      <c r="M23" s="1225">
        <f t="shared" ref="M23" si="21">(S$7*S23)+(T$7*T23)+(U$7*U23)+(V$7*V23)+(W$7*W23)+(X$7*X23)+(Y$7*Y23)+(Z$7*Z23)+(AA$7*AA23)</f>
        <v>0.25</v>
      </c>
      <c r="N23" s="1225">
        <f t="shared" ref="N23" si="22">(AB$7*AB23)+(AC$7*AC23)+(AD$7*AD23)</f>
        <v>0</v>
      </c>
      <c r="O23" s="1262"/>
      <c r="P23" s="1241">
        <v>2.2999999999999998</v>
      </c>
      <c r="Q23" s="1241" t="s">
        <v>493</v>
      </c>
      <c r="R23" s="1214" t="str">
        <f t="shared" ref="R23" si="23">IF($P$3=1,AH23,AX23)</f>
        <v>感染症に備える</v>
      </c>
      <c r="S23" s="1287">
        <f t="shared" ref="S23" si="24">IF($P$3=1,AI23,AY23)</f>
        <v>0.25</v>
      </c>
      <c r="T23" s="2144"/>
      <c r="U23" s="2144"/>
      <c r="V23" s="2144"/>
      <c r="W23" s="2144"/>
      <c r="X23" s="2144"/>
      <c r="Y23" s="2144"/>
      <c r="Z23" s="2145"/>
      <c r="AA23" s="2144"/>
      <c r="AB23" s="2146"/>
      <c r="AC23" s="2144"/>
      <c r="AD23" s="2144"/>
      <c r="AE23" s="2147"/>
      <c r="AF23" s="1241">
        <v>2.2999999999999998</v>
      </c>
      <c r="AG23" s="1241" t="s">
        <v>493</v>
      </c>
      <c r="AH23" s="1215" t="s">
        <v>1647</v>
      </c>
      <c r="AI23" s="1242">
        <v>0.25</v>
      </c>
      <c r="AJ23" s="1235"/>
      <c r="AK23" s="1235"/>
      <c r="AL23" s="1235"/>
      <c r="AM23" s="1235"/>
      <c r="AN23" s="1235"/>
      <c r="AO23" s="1235"/>
      <c r="AP23" s="1272"/>
      <c r="AQ23" s="1235"/>
      <c r="AR23" s="1235"/>
      <c r="AS23" s="1235"/>
      <c r="AT23" s="1235"/>
      <c r="AU23" s="2621"/>
      <c r="AV23" s="1241">
        <v>2.2999999999999998</v>
      </c>
      <c r="AW23" s="1241" t="s">
        <v>493</v>
      </c>
      <c r="AX23" s="1215" t="s">
        <v>1647</v>
      </c>
      <c r="AY23" s="1242">
        <v>0.25</v>
      </c>
    </row>
    <row r="24" spans="1:51" s="2133" customFormat="1">
      <c r="A24"/>
      <c r="B24" s="1214" t="str">
        <f t="shared" si="9"/>
        <v>2.4</v>
      </c>
      <c r="C24" s="1215" t="str">
        <f t="shared" si="7"/>
        <v>住まい方で災害に備える</v>
      </c>
      <c r="D24" s="1216">
        <f>IF(I$20=0,0,G24/I$20)</f>
        <v>0.25</v>
      </c>
      <c r="E24" s="1216">
        <f>IF(J$20=0,0,H24/J$20)</f>
        <v>0</v>
      </c>
      <c r="F24" s="681"/>
      <c r="G24" s="1225">
        <f>K24*((S$7*S24)+(T$7*T24)+(U$7*U24)+(V$7*V24)+(W$7*W24)+(X$7*X24)+(Y$7*Y24)+(Z$7*Z24)+(AA$7*AA24))</f>
        <v>0.25</v>
      </c>
      <c r="H24" s="1225">
        <f>L24*((AB$7*AB24)+(AC$7*AC24)+(AD$7*AD24))</f>
        <v>0</v>
      </c>
      <c r="I24" s="1225"/>
      <c r="J24" s="1225"/>
      <c r="K24" s="1225">
        <f>IF(スコア!M24=0,0,1)</f>
        <v>1</v>
      </c>
      <c r="L24" s="1225">
        <f>IF(スコア!N24=0,0,1)</f>
        <v>1</v>
      </c>
      <c r="M24" s="1225">
        <f>(S$7*S24)+(T$7*T24)+(U$7*U24)+(V$7*V24)+(W$7*W24)+(X$7*X24)+(Y$7*Y24)+(Z$7*Z24)+(AA$7*AA24)</f>
        <v>0.25</v>
      </c>
      <c r="N24" s="1225">
        <f>(AB$7*AB24)+(AC$7*AC24)+(AD$7*AD24)</f>
        <v>0</v>
      </c>
      <c r="O24" s="1262"/>
      <c r="P24" s="1214" t="str">
        <f t="shared" si="12"/>
        <v>2.4</v>
      </c>
      <c r="Q24" s="1214" t="str">
        <f t="shared" si="13"/>
        <v>1.1.2</v>
      </c>
      <c r="R24" s="1214" t="str">
        <f t="shared" si="14"/>
        <v>住まい方で災害に備える</v>
      </c>
      <c r="S24" s="1287">
        <f t="shared" si="15"/>
        <v>0.25</v>
      </c>
      <c r="T24" s="2144"/>
      <c r="U24" s="2144"/>
      <c r="V24" s="2144"/>
      <c r="W24" s="2144"/>
      <c r="X24" s="2144"/>
      <c r="Y24" s="2144"/>
      <c r="Z24" s="2145"/>
      <c r="AA24" s="2144"/>
      <c r="AB24" s="2146"/>
      <c r="AC24" s="2144"/>
      <c r="AD24" s="2144"/>
      <c r="AE24" s="2147"/>
      <c r="AF24" s="1241" t="s">
        <v>630</v>
      </c>
      <c r="AG24" s="1241" t="s">
        <v>631</v>
      </c>
      <c r="AH24" s="1215" t="s">
        <v>1682</v>
      </c>
      <c r="AI24" s="1242">
        <v>0.25</v>
      </c>
      <c r="AJ24" s="1235"/>
      <c r="AK24" s="1235"/>
      <c r="AL24" s="1235"/>
      <c r="AM24" s="1235"/>
      <c r="AN24" s="1235"/>
      <c r="AO24" s="1235"/>
      <c r="AP24" s="1272"/>
      <c r="AQ24" s="1235"/>
      <c r="AR24" s="1235"/>
      <c r="AS24" s="1235"/>
      <c r="AT24" s="1235"/>
      <c r="AU24" s="2621"/>
      <c r="AV24" s="1241" t="s">
        <v>630</v>
      </c>
      <c r="AW24" s="1241" t="s">
        <v>631</v>
      </c>
      <c r="AX24" s="1215" t="s">
        <v>1682</v>
      </c>
      <c r="AY24" s="1242">
        <v>0.25</v>
      </c>
    </row>
    <row r="25" spans="1:51">
      <c r="B25" s="1211">
        <f t="shared" si="9"/>
        <v>3</v>
      </c>
      <c r="C25" s="1212" t="str">
        <f t="shared" si="7"/>
        <v>明るさ</v>
      </c>
      <c r="D25" s="1213">
        <f>IF(I$9=0,0,G25/I$9)</f>
        <v>0.1</v>
      </c>
      <c r="E25" s="1213">
        <f>IF(J$9=0,0,H25/J$9)</f>
        <v>0</v>
      </c>
      <c r="F25" s="681"/>
      <c r="G25" s="1218">
        <f>K25*((S$7*S25)+(T$7*T25)+(U$7*U25)+(V$7*V25)+(W$7*W25)+(X$7*X25)+(Y$7*Y25)+(Z$7*Z25)+(AA$7*AA25))</f>
        <v>0.1</v>
      </c>
      <c r="H25" s="1218">
        <f>L25*((AB$7*AB25)+(AC$7*AC25)+(AD$7*AD25))</f>
        <v>0</v>
      </c>
      <c r="I25" s="1218">
        <f>G26+G27</f>
        <v>1</v>
      </c>
      <c r="J25" s="1218">
        <f>H26+H27</f>
        <v>0</v>
      </c>
      <c r="K25" s="1218">
        <f>IF(スコア!M25=0,0,1)</f>
        <v>1</v>
      </c>
      <c r="L25" s="1218">
        <f>IF(スコア!N25=0,0,1)</f>
        <v>1</v>
      </c>
      <c r="M25" s="1218">
        <f>(S$7*S25)+(T$7*T25)+(U$7*U25)+(V$7*V25)+(W$7*W25)+(X$7*X25)+(Y$7*Y25)+(Z$7*Z25)+(AA$7*AA25)</f>
        <v>0.1</v>
      </c>
      <c r="N25" s="1218">
        <f t="shared" si="4"/>
        <v>0</v>
      </c>
      <c r="O25" s="1262"/>
      <c r="P25" s="1211">
        <f t="shared" si="12"/>
        <v>3</v>
      </c>
      <c r="Q25" s="1214" t="str">
        <f t="shared" si="13"/>
        <v>1.1</v>
      </c>
      <c r="R25" s="1211" t="str">
        <f t="shared" si="14"/>
        <v>明るさ</v>
      </c>
      <c r="S25" s="1284">
        <f t="shared" si="15"/>
        <v>0.1</v>
      </c>
      <c r="T25" s="1284"/>
      <c r="U25" s="1284"/>
      <c r="V25" s="1284"/>
      <c r="W25" s="1284"/>
      <c r="X25" s="1284"/>
      <c r="Y25" s="1284"/>
      <c r="Z25" s="1290"/>
      <c r="AA25" s="1284"/>
      <c r="AB25" s="1286"/>
      <c r="AC25" s="1284"/>
      <c r="AD25" s="1284"/>
      <c r="AE25" s="1269"/>
      <c r="AF25" s="1239">
        <v>3</v>
      </c>
      <c r="AG25" s="1239" t="s">
        <v>548</v>
      </c>
      <c r="AH25" s="1212" t="s">
        <v>511</v>
      </c>
      <c r="AI25" s="1244">
        <v>0.1</v>
      </c>
      <c r="AJ25" s="1235"/>
      <c r="AK25" s="1235"/>
      <c r="AL25" s="1235"/>
      <c r="AM25" s="1235"/>
      <c r="AN25" s="1235"/>
      <c r="AO25" s="1235"/>
      <c r="AP25" s="1272"/>
      <c r="AQ25" s="1235"/>
      <c r="AR25" s="1235"/>
      <c r="AS25" s="1235"/>
      <c r="AT25" s="1235"/>
      <c r="AU25" s="2621"/>
      <c r="AV25" s="1239">
        <v>3</v>
      </c>
      <c r="AW25" s="1239" t="s">
        <v>548</v>
      </c>
      <c r="AX25" s="1212" t="s">
        <v>511</v>
      </c>
      <c r="AY25" s="1244">
        <v>0.1</v>
      </c>
    </row>
    <row r="26" spans="1:51">
      <c r="B26" s="1214">
        <f t="shared" si="9"/>
        <v>3.1</v>
      </c>
      <c r="C26" s="1215" t="str">
        <f t="shared" si="7"/>
        <v>昼光の利用</v>
      </c>
      <c r="D26" s="1216">
        <f>IF(I$25=0,0,G26/I$25)</f>
        <v>0.5</v>
      </c>
      <c r="E26" s="1216">
        <f>IF(J$25=0,0,H26/J$25)</f>
        <v>0</v>
      </c>
      <c r="F26" s="681"/>
      <c r="G26" s="1225">
        <f t="shared" si="2"/>
        <v>0.5</v>
      </c>
      <c r="H26" s="1225">
        <f t="shared" si="8"/>
        <v>0</v>
      </c>
      <c r="I26" s="1225"/>
      <c r="J26" s="1225"/>
      <c r="K26" s="1225">
        <f>IF(スコア!M26=0,0,1)</f>
        <v>1</v>
      </c>
      <c r="L26" s="1225">
        <f>IF(スコア!N26=0,0,1)</f>
        <v>1</v>
      </c>
      <c r="M26" s="1225">
        <f t="shared" si="3"/>
        <v>0.5</v>
      </c>
      <c r="N26" s="1225">
        <f t="shared" si="4"/>
        <v>0</v>
      </c>
      <c r="O26" s="1262"/>
      <c r="P26" s="1214">
        <f t="shared" si="12"/>
        <v>3.1</v>
      </c>
      <c r="Q26" s="1214" t="str">
        <f t="shared" si="13"/>
        <v>1.1.3</v>
      </c>
      <c r="R26" s="1214" t="str">
        <f t="shared" si="14"/>
        <v>昼光の利用</v>
      </c>
      <c r="S26" s="1287">
        <f t="shared" si="15"/>
        <v>0.5</v>
      </c>
      <c r="T26" s="1287"/>
      <c r="U26" s="1287"/>
      <c r="V26" s="1287"/>
      <c r="W26" s="1287"/>
      <c r="X26" s="1287"/>
      <c r="Y26" s="1287"/>
      <c r="Z26" s="1291"/>
      <c r="AA26" s="1287"/>
      <c r="AB26" s="1288"/>
      <c r="AC26" s="1287"/>
      <c r="AD26" s="1287"/>
      <c r="AE26" s="1269"/>
      <c r="AF26" s="1241">
        <v>3.1</v>
      </c>
      <c r="AG26" s="1241" t="s">
        <v>554</v>
      </c>
      <c r="AH26" s="1215" t="s">
        <v>512</v>
      </c>
      <c r="AI26" s="1243">
        <v>0.5</v>
      </c>
      <c r="AJ26" s="1235"/>
      <c r="AK26" s="1235"/>
      <c r="AL26" s="1235"/>
      <c r="AM26" s="1235"/>
      <c r="AN26" s="1235"/>
      <c r="AO26" s="1235"/>
      <c r="AP26" s="1272"/>
      <c r="AQ26" s="1235"/>
      <c r="AR26" s="1235"/>
      <c r="AS26" s="1235"/>
      <c r="AT26" s="1235"/>
      <c r="AU26" s="2621"/>
      <c r="AV26" s="1241">
        <v>3.1</v>
      </c>
      <c r="AW26" s="1241" t="s">
        <v>554</v>
      </c>
      <c r="AX26" s="1215" t="s">
        <v>512</v>
      </c>
      <c r="AY26" s="1243">
        <v>0.5</v>
      </c>
    </row>
    <row r="27" spans="1:51" s="2133" customFormat="1" ht="13.5" customHeight="1">
      <c r="A27"/>
      <c r="B27" s="1214" t="str">
        <f t="shared" si="9"/>
        <v>3.2</v>
      </c>
      <c r="C27" s="1215" t="str">
        <f t="shared" si="7"/>
        <v>適切な照明計画</v>
      </c>
      <c r="D27" s="1216">
        <f>IF(I$25=0,0,G27/I$25)</f>
        <v>0.5</v>
      </c>
      <c r="E27" s="1216">
        <f>IF(J$25=0,0,H27/J$25)</f>
        <v>0</v>
      </c>
      <c r="F27" s="681"/>
      <c r="G27" s="1225">
        <f t="shared" si="2"/>
        <v>0.5</v>
      </c>
      <c r="H27" s="1225">
        <f t="shared" si="8"/>
        <v>0</v>
      </c>
      <c r="I27" s="1225"/>
      <c r="J27" s="1225"/>
      <c r="K27" s="1225">
        <f>IF(スコア!M27=0,0,1)</f>
        <v>1</v>
      </c>
      <c r="L27" s="1225">
        <f>IF(スコア!N27=0,0,1)</f>
        <v>1</v>
      </c>
      <c r="M27" s="1225">
        <f t="shared" si="3"/>
        <v>0.5</v>
      </c>
      <c r="N27" s="1225">
        <f t="shared" si="4"/>
        <v>0</v>
      </c>
      <c r="O27" s="1280"/>
      <c r="P27" s="1214" t="str">
        <f t="shared" si="12"/>
        <v>3.2</v>
      </c>
      <c r="Q27" s="1214" t="str">
        <f t="shared" si="13"/>
        <v>1.1.3</v>
      </c>
      <c r="R27" s="1214" t="str">
        <f>IF($P$3=1,AH27,AX27)</f>
        <v>適切な照明計画</v>
      </c>
      <c r="S27" s="1287">
        <f t="shared" si="15"/>
        <v>0.5</v>
      </c>
      <c r="T27" s="2144"/>
      <c r="U27" s="2144"/>
      <c r="V27" s="2144"/>
      <c r="W27" s="2144"/>
      <c r="X27" s="2144"/>
      <c r="Y27" s="2144"/>
      <c r="Z27" s="2145"/>
      <c r="AA27" s="2144"/>
      <c r="AB27" s="2146"/>
      <c r="AC27" s="2144"/>
      <c r="AD27" s="2144"/>
      <c r="AE27" s="2147"/>
      <c r="AF27" s="1241" t="s">
        <v>447</v>
      </c>
      <c r="AG27" s="1241" t="s">
        <v>554</v>
      </c>
      <c r="AH27" s="1215" t="s">
        <v>1656</v>
      </c>
      <c r="AI27" s="1242">
        <v>0.5</v>
      </c>
      <c r="AJ27" s="1235"/>
      <c r="AK27" s="1235"/>
      <c r="AL27" s="1235"/>
      <c r="AM27" s="1235"/>
      <c r="AN27" s="1235"/>
      <c r="AO27" s="1235"/>
      <c r="AP27" s="1272"/>
      <c r="AQ27" s="1235"/>
      <c r="AR27" s="1235"/>
      <c r="AS27" s="1235"/>
      <c r="AT27" s="1235"/>
      <c r="AU27" s="2621"/>
      <c r="AV27" s="1241" t="s">
        <v>447</v>
      </c>
      <c r="AW27" s="1241" t="s">
        <v>554</v>
      </c>
      <c r="AX27" s="1215" t="s">
        <v>1656</v>
      </c>
      <c r="AY27" s="1242">
        <v>0.5</v>
      </c>
    </row>
    <row r="28" spans="1:51">
      <c r="B28" s="1211">
        <f t="shared" si="9"/>
        <v>4</v>
      </c>
      <c r="C28" s="1212" t="str">
        <f t="shared" si="7"/>
        <v>静かさ</v>
      </c>
      <c r="D28" s="1213">
        <f>IF(I$9=0,0,G28/I$9)</f>
        <v>0.1</v>
      </c>
      <c r="E28" s="1213">
        <f>IF(J$9=0,0,H28/J$9)</f>
        <v>0</v>
      </c>
      <c r="F28" s="1279"/>
      <c r="G28" s="1218">
        <f>K28*((S$7*S28)+(T$7*T28)+(U$7*U28)+(V$7*V28)+(W$7*W28)+(X$7*X28)+(Y$7*Y28)+(Z$7*Z28)+(AA$7*AA28))</f>
        <v>0.1</v>
      </c>
      <c r="H28" s="1218">
        <f t="shared" si="8"/>
        <v>0</v>
      </c>
      <c r="I28" s="2486">
        <f>SUM(G29:G31)</f>
        <v>1</v>
      </c>
      <c r="J28" s="2486">
        <f>SUM(H29:H31)</f>
        <v>0</v>
      </c>
      <c r="K28" s="1218">
        <f>IF(スコア!M28=0,0,1)</f>
        <v>1</v>
      </c>
      <c r="L28" s="1218">
        <f>IF(スコア!N28=0,0,1)</f>
        <v>1</v>
      </c>
      <c r="M28" s="1218">
        <f t="shared" si="3"/>
        <v>0.1</v>
      </c>
      <c r="N28" s="1218">
        <f t="shared" si="4"/>
        <v>0</v>
      </c>
      <c r="O28" s="1280"/>
      <c r="P28" s="1211">
        <f>IF($P$3=1,AF28,AV28)</f>
        <v>4</v>
      </c>
      <c r="Q28" s="1211" t="str">
        <f t="shared" si="13"/>
        <v>1.1</v>
      </c>
      <c r="R28" s="1211" t="str">
        <f t="shared" si="14"/>
        <v>静かさ</v>
      </c>
      <c r="S28" s="1284">
        <f t="shared" si="15"/>
        <v>0.1</v>
      </c>
      <c r="T28" s="1284"/>
      <c r="U28" s="1284"/>
      <c r="V28" s="1284"/>
      <c r="W28" s="1284"/>
      <c r="X28" s="1284"/>
      <c r="Y28" s="1284"/>
      <c r="Z28" s="1290"/>
      <c r="AA28" s="1284"/>
      <c r="AB28" s="1286"/>
      <c r="AC28" s="1284"/>
      <c r="AD28" s="1284"/>
      <c r="AE28" s="1292"/>
      <c r="AF28" s="1239">
        <v>4</v>
      </c>
      <c r="AG28" s="1239" t="s">
        <v>548</v>
      </c>
      <c r="AH28" s="1212" t="s">
        <v>513</v>
      </c>
      <c r="AI28" s="1244">
        <v>0.1</v>
      </c>
      <c r="AJ28" s="1293"/>
      <c r="AK28" s="1293"/>
      <c r="AL28" s="1293"/>
      <c r="AM28" s="1293"/>
      <c r="AN28" s="1293"/>
      <c r="AO28" s="1293"/>
      <c r="AP28" s="1294"/>
      <c r="AQ28" s="1293"/>
      <c r="AR28" s="1293"/>
      <c r="AS28" s="1293"/>
      <c r="AT28" s="1293"/>
      <c r="AU28" s="1295"/>
      <c r="AV28" s="1239">
        <v>4</v>
      </c>
      <c r="AW28" s="1239" t="s">
        <v>548</v>
      </c>
      <c r="AX28" s="1212" t="s">
        <v>513</v>
      </c>
      <c r="AY28" s="1244">
        <v>0.25</v>
      </c>
    </row>
    <row r="29" spans="1:51">
      <c r="B29" s="1214">
        <f t="shared" si="9"/>
        <v>0</v>
      </c>
      <c r="C29" s="1215" t="str">
        <f t="shared" si="7"/>
        <v>静かさ</v>
      </c>
      <c r="D29" s="2487">
        <f>IF(I$28=0,0,G29/I$28)</f>
        <v>1</v>
      </c>
      <c r="E29" s="2487">
        <f>IF(J$28=0,0,H29/J$28)</f>
        <v>0</v>
      </c>
      <c r="F29" s="681"/>
      <c r="G29" s="1225">
        <f t="shared" ref="G29:G30" si="25">K29*((S$7*S29)+(T$7*T29)+(U$7*U29)+(V$7*V29)+(W$7*W29)+(X$7*X29)+(Y$7*Y29)+(Z$7*Z29)+(AA$7*AA29))</f>
        <v>1</v>
      </c>
      <c r="H29" s="1225">
        <f t="shared" ref="H29:H33" si="26">L29*((AB$7*AB29)+(AC$7*AC29)+(AD$7*AD29))</f>
        <v>0</v>
      </c>
      <c r="I29" s="1225"/>
      <c r="J29" s="1225"/>
      <c r="K29" s="1225">
        <f>IF(スコア!M29=0,0,1)</f>
        <v>1</v>
      </c>
      <c r="L29" s="1225">
        <f>IF(スコア!N29=0,0,1)</f>
        <v>1</v>
      </c>
      <c r="M29" s="1225">
        <f t="shared" ref="M29:M33" si="27">(S$7*S29)+(T$7*T29)+(U$7*U29)+(V$7*V29)+(W$7*W29)+(X$7*X29)+(Y$7*Y29)+(Z$7*Z29)+(AA$7*AA29)</f>
        <v>1</v>
      </c>
      <c r="N29" s="1225">
        <f t="shared" ref="N29:N33" si="28">(AB$7*AB29)+(AC$7*AC29)+(AD$7*AD29)</f>
        <v>0</v>
      </c>
      <c r="O29" s="1262"/>
      <c r="P29" s="1214">
        <f t="shared" ref="P29:P33" si="29">IF($P$3=1,AF29,AV29)</f>
        <v>0</v>
      </c>
      <c r="Q29" s="1214">
        <f t="shared" ref="Q29:Q33" si="30">IF($P$3=1,AG29,AW29)</f>
        <v>0</v>
      </c>
      <c r="R29" s="1214" t="str">
        <f t="shared" ref="R29:R33" si="31">IF($P$3=1,AH29,AX29)</f>
        <v>静かさ</v>
      </c>
      <c r="S29" s="1307">
        <f t="shared" ref="S29:S33" si="32">IF($P$3=1,AI29,AY29)</f>
        <v>1</v>
      </c>
      <c r="T29" s="1307"/>
      <c r="U29" s="1307"/>
      <c r="V29" s="1307"/>
      <c r="W29" s="1307"/>
      <c r="X29" s="1307"/>
      <c r="Y29" s="1307"/>
      <c r="Z29" s="1291"/>
      <c r="AA29" s="1307"/>
      <c r="AB29" s="1309"/>
      <c r="AC29" s="1307"/>
      <c r="AD29" s="1307"/>
      <c r="AE29" s="1269"/>
      <c r="AF29" s="1241"/>
      <c r="AG29" s="1241"/>
      <c r="AH29" s="1215" t="str">
        <f>AH28</f>
        <v>静かさ</v>
      </c>
      <c r="AI29" s="1242">
        <v>1</v>
      </c>
      <c r="AJ29" s="1235"/>
      <c r="AK29" s="1235"/>
      <c r="AL29" s="1235"/>
      <c r="AM29" s="1235"/>
      <c r="AN29" s="1235"/>
      <c r="AO29" s="1235"/>
      <c r="AP29" s="1272"/>
      <c r="AQ29" s="1235"/>
      <c r="AR29" s="1235"/>
      <c r="AS29" s="1235"/>
      <c r="AT29" s="1235"/>
      <c r="AU29" s="2621"/>
      <c r="AV29" s="1241" t="s">
        <v>1887</v>
      </c>
      <c r="AW29" s="1241" t="s">
        <v>1888</v>
      </c>
      <c r="AX29" s="1215" t="s">
        <v>1851</v>
      </c>
      <c r="AY29" s="1242">
        <v>0.2</v>
      </c>
    </row>
    <row r="30" spans="1:51" hidden="1">
      <c r="B30" s="1214">
        <f t="shared" si="9"/>
        <v>0</v>
      </c>
      <c r="C30" s="1215">
        <f t="shared" si="7"/>
        <v>0</v>
      </c>
      <c r="D30" s="2487">
        <f t="shared" ref="D30:D31" si="33">IF(I$28=0,0,G30/I$28)</f>
        <v>0</v>
      </c>
      <c r="E30" s="2487">
        <f t="shared" ref="E30" si="34">IF(J$28=0,0,H30/J$28)</f>
        <v>0</v>
      </c>
      <c r="F30" s="1299"/>
      <c r="G30" s="1225">
        <f t="shared" si="25"/>
        <v>0</v>
      </c>
      <c r="H30" s="1225">
        <f t="shared" si="26"/>
        <v>0</v>
      </c>
      <c r="I30" s="1225"/>
      <c r="J30" s="1225"/>
      <c r="K30" s="1225">
        <f>IF(スコア!M30=0,0,1)</f>
        <v>1</v>
      </c>
      <c r="L30" s="1225">
        <f>IF(スコア!N30=0,0,1)</f>
        <v>0</v>
      </c>
      <c r="M30" s="1225">
        <f t="shared" si="27"/>
        <v>0</v>
      </c>
      <c r="N30" s="1225">
        <f t="shared" si="28"/>
        <v>0</v>
      </c>
      <c r="O30" s="1262"/>
      <c r="P30" s="1214">
        <f t="shared" si="29"/>
        <v>0</v>
      </c>
      <c r="Q30" s="1214">
        <f t="shared" si="30"/>
        <v>0</v>
      </c>
      <c r="R30" s="1214">
        <f t="shared" si="31"/>
        <v>0</v>
      </c>
      <c r="S30" s="1307">
        <f t="shared" si="32"/>
        <v>0</v>
      </c>
      <c r="T30" s="1307"/>
      <c r="U30" s="1307"/>
      <c r="V30" s="1307"/>
      <c r="W30" s="1307"/>
      <c r="X30" s="1307"/>
      <c r="Y30" s="1307"/>
      <c r="Z30" s="1291"/>
      <c r="AA30" s="1307"/>
      <c r="AB30" s="1309"/>
      <c r="AC30" s="1307"/>
      <c r="AD30" s="1307"/>
      <c r="AE30" s="1269"/>
      <c r="AF30" s="1241"/>
      <c r="AG30" s="1241"/>
      <c r="AH30" s="1215"/>
      <c r="AI30" s="1242"/>
      <c r="AJ30" s="1235"/>
      <c r="AK30" s="1235"/>
      <c r="AL30" s="1235"/>
      <c r="AM30" s="1235"/>
      <c r="AN30" s="1235"/>
      <c r="AO30" s="1235"/>
      <c r="AP30" s="1272"/>
      <c r="AQ30" s="1235"/>
      <c r="AR30" s="1235"/>
      <c r="AS30" s="1235"/>
      <c r="AT30" s="1235"/>
      <c r="AU30" s="2621"/>
      <c r="AV30" s="1241" t="s">
        <v>1890</v>
      </c>
      <c r="AW30" s="1241" t="s">
        <v>1888</v>
      </c>
      <c r="AX30" s="1215" t="s">
        <v>1852</v>
      </c>
      <c r="AY30" s="1242">
        <v>0.3</v>
      </c>
    </row>
    <row r="31" spans="1:51" hidden="1">
      <c r="B31" s="1214">
        <f t="shared" si="9"/>
        <v>0</v>
      </c>
      <c r="C31" s="1215">
        <f t="shared" si="7"/>
        <v>0</v>
      </c>
      <c r="D31" s="2487">
        <f t="shared" si="33"/>
        <v>0</v>
      </c>
      <c r="E31" s="2487">
        <f>IF(J$28=0,0,H31/J$28)</f>
        <v>0</v>
      </c>
      <c r="F31" s="681"/>
      <c r="G31" s="1225">
        <f>K31*((S$7*S31)+(T$7*T31)+(U$7*U31)+(V$7*V31)+(W$7*W31)+(X$7*X31)+(Y$7*Y31)+(Z$7*Z31)+(AA$7*AA31))</f>
        <v>0</v>
      </c>
      <c r="H31" s="1225">
        <f t="shared" si="26"/>
        <v>0</v>
      </c>
      <c r="I31" s="2487">
        <f>SUM(G32:G33)</f>
        <v>0</v>
      </c>
      <c r="J31" s="2487">
        <f>SUM(H32:H33)</f>
        <v>0</v>
      </c>
      <c r="K31" s="1225">
        <f>IF(スコア!M31=0,0,1)</f>
        <v>0</v>
      </c>
      <c r="L31" s="1225">
        <f>IF(スコア!N31=0,0,1)</f>
        <v>0</v>
      </c>
      <c r="M31" s="1225">
        <f t="shared" si="27"/>
        <v>0</v>
      </c>
      <c r="N31" s="1225">
        <f t="shared" si="28"/>
        <v>0</v>
      </c>
      <c r="O31" s="1262"/>
      <c r="P31" s="1214">
        <f t="shared" si="29"/>
        <v>0</v>
      </c>
      <c r="Q31" s="1214">
        <f t="shared" si="30"/>
        <v>0</v>
      </c>
      <c r="R31" s="1214">
        <f t="shared" si="31"/>
        <v>0</v>
      </c>
      <c r="S31" s="1307">
        <f t="shared" si="32"/>
        <v>0</v>
      </c>
      <c r="T31" s="1307"/>
      <c r="U31" s="1307"/>
      <c r="V31" s="1307"/>
      <c r="W31" s="1307"/>
      <c r="X31" s="1307"/>
      <c r="Y31" s="1307"/>
      <c r="Z31" s="1291"/>
      <c r="AA31" s="1307"/>
      <c r="AB31" s="1309"/>
      <c r="AC31" s="1307"/>
      <c r="AD31" s="1307"/>
      <c r="AE31" s="1269"/>
      <c r="AF31" s="1241"/>
      <c r="AG31" s="1241"/>
      <c r="AH31" s="1215"/>
      <c r="AI31" s="1242"/>
      <c r="AJ31" s="1235"/>
      <c r="AK31" s="1235"/>
      <c r="AL31" s="1235"/>
      <c r="AM31" s="1235"/>
      <c r="AN31" s="1235"/>
      <c r="AO31" s="1235"/>
      <c r="AP31" s="1272"/>
      <c r="AQ31" s="1235"/>
      <c r="AR31" s="1235"/>
      <c r="AS31" s="1235"/>
      <c r="AT31" s="1235"/>
      <c r="AU31" s="2621"/>
      <c r="AV31" s="1241" t="s">
        <v>1891</v>
      </c>
      <c r="AW31" s="1241" t="s">
        <v>1888</v>
      </c>
      <c r="AX31" s="1215" t="s">
        <v>1853</v>
      </c>
      <c r="AY31" s="1242">
        <v>0.5</v>
      </c>
    </row>
    <row r="32" spans="1:51" hidden="1">
      <c r="B32" s="1217">
        <f t="shared" si="9"/>
        <v>0</v>
      </c>
      <c r="C32" s="9">
        <f t="shared" si="7"/>
        <v>0</v>
      </c>
      <c r="D32" s="2487">
        <f>IF(I$31=0,0,G32/I$31)</f>
        <v>0</v>
      </c>
      <c r="E32" s="2487">
        <f>IF(J$31=0,0,H32/J$31)</f>
        <v>0</v>
      </c>
      <c r="F32" s="681"/>
      <c r="G32" s="1216">
        <f>K32*((S$7*S32)+(T$7*T32)+(U$7*U32)+(V$7*V32)+(W$7*W32)+(X$7*X32)+(Y$7*Y32)+(Z$7*Z32)+(AA$7*AA32))</f>
        <v>0</v>
      </c>
      <c r="H32" s="1225">
        <f>L32*((AB$7*AB32)+(AC$7*AC32)+(AD$7*AD32))</f>
        <v>0</v>
      </c>
      <c r="I32" s="1216"/>
      <c r="J32" s="1220"/>
      <c r="K32" s="1225">
        <f>IF(スコア!M32=0,0,1)</f>
        <v>1</v>
      </c>
      <c r="L32" s="1225">
        <f>IF(スコア!O32=0,0,1)</f>
        <v>0</v>
      </c>
      <c r="M32" s="1225">
        <f t="shared" si="27"/>
        <v>0</v>
      </c>
      <c r="N32" s="1225">
        <f t="shared" si="28"/>
        <v>0</v>
      </c>
      <c r="O32" s="1262"/>
      <c r="P32" s="1214">
        <f t="shared" si="29"/>
        <v>0</v>
      </c>
      <c r="Q32" s="1214">
        <f t="shared" si="30"/>
        <v>0</v>
      </c>
      <c r="R32" s="1214">
        <f t="shared" si="31"/>
        <v>0</v>
      </c>
      <c r="S32" s="1307">
        <f t="shared" si="32"/>
        <v>0</v>
      </c>
      <c r="T32" s="1307"/>
      <c r="U32" s="1307"/>
      <c r="V32" s="1307"/>
      <c r="W32" s="1307"/>
      <c r="X32" s="1307"/>
      <c r="Y32" s="1307"/>
      <c r="Z32" s="1291"/>
      <c r="AA32" s="1307"/>
      <c r="AB32" s="1309"/>
      <c r="AC32" s="1307"/>
      <c r="AD32" s="1307"/>
      <c r="AE32" s="1269"/>
      <c r="AF32" s="1241"/>
      <c r="AG32" s="1241"/>
      <c r="AH32" s="1215"/>
      <c r="AI32" s="1242"/>
      <c r="AJ32" s="1235"/>
      <c r="AK32" s="1235"/>
      <c r="AL32" s="1235"/>
      <c r="AM32" s="1235"/>
      <c r="AN32" s="1235"/>
      <c r="AO32" s="1235"/>
      <c r="AP32" s="1272"/>
      <c r="AQ32" s="1235"/>
      <c r="AR32" s="1235"/>
      <c r="AS32" s="1235"/>
      <c r="AT32" s="1235"/>
      <c r="AU32" s="2621"/>
      <c r="AV32" s="1241" t="s">
        <v>1892</v>
      </c>
      <c r="AW32" s="1241" t="s">
        <v>1889</v>
      </c>
      <c r="AX32" s="1215" t="s">
        <v>1854</v>
      </c>
      <c r="AY32" s="1242">
        <v>0.5</v>
      </c>
    </row>
    <row r="33" spans="2:51" hidden="1">
      <c r="B33" s="1217">
        <f t="shared" si="9"/>
        <v>0</v>
      </c>
      <c r="C33" s="9">
        <f t="shared" si="7"/>
        <v>0</v>
      </c>
      <c r="D33" s="2487">
        <f>IF(I$31=0,0,G33/I$31)</f>
        <v>0</v>
      </c>
      <c r="E33" s="2487">
        <f>IF(J$31=0,0,H33/J$31)</f>
        <v>0</v>
      </c>
      <c r="F33" s="681"/>
      <c r="G33" s="1216">
        <f t="shared" ref="G33" si="35">K33*((S$7*S33)+(T$7*T33)+(U$7*U33)+(V$7*V33)+(W$7*W33)+(X$7*X33)+(Y$7*Y33)+(Z$7*Z33)+(AA$7*AA33))</f>
        <v>0</v>
      </c>
      <c r="H33" s="1225">
        <f t="shared" si="26"/>
        <v>0</v>
      </c>
      <c r="I33" s="1216"/>
      <c r="J33" s="1225"/>
      <c r="K33" s="1225">
        <f>IF(スコア!M33=0,0,1)</f>
        <v>1</v>
      </c>
      <c r="L33" s="1225">
        <f>IF(スコア!O33=0,0,1)</f>
        <v>0</v>
      </c>
      <c r="M33" s="1225">
        <f t="shared" si="27"/>
        <v>0</v>
      </c>
      <c r="N33" s="1225">
        <f t="shared" si="28"/>
        <v>0</v>
      </c>
      <c r="O33" s="1262"/>
      <c r="P33" s="1214">
        <f t="shared" si="29"/>
        <v>0</v>
      </c>
      <c r="Q33" s="1214">
        <f t="shared" si="30"/>
        <v>0</v>
      </c>
      <c r="R33" s="1214">
        <f t="shared" si="31"/>
        <v>0</v>
      </c>
      <c r="S33" s="1307">
        <f t="shared" si="32"/>
        <v>0</v>
      </c>
      <c r="T33" s="1307"/>
      <c r="U33" s="1307"/>
      <c r="V33" s="1307"/>
      <c r="W33" s="1307"/>
      <c r="X33" s="1307"/>
      <c r="Y33" s="1307"/>
      <c r="Z33" s="1291"/>
      <c r="AA33" s="1307"/>
      <c r="AB33" s="1309"/>
      <c r="AC33" s="1307"/>
      <c r="AD33" s="1307"/>
      <c r="AE33" s="1269"/>
      <c r="AF33" s="1241"/>
      <c r="AG33" s="1241"/>
      <c r="AH33" s="1215"/>
      <c r="AI33" s="1242"/>
      <c r="AJ33" s="1235"/>
      <c r="AK33" s="1235"/>
      <c r="AL33" s="1235"/>
      <c r="AM33" s="1235"/>
      <c r="AN33" s="1235"/>
      <c r="AO33" s="1235"/>
      <c r="AP33" s="1272"/>
      <c r="AQ33" s="1235"/>
      <c r="AR33" s="1235"/>
      <c r="AS33" s="1235"/>
      <c r="AT33" s="1235"/>
      <c r="AU33" s="2621"/>
      <c r="AV33" s="1241" t="s">
        <v>1893</v>
      </c>
      <c r="AW33" s="1241" t="s">
        <v>1889</v>
      </c>
      <c r="AX33" s="1215" t="s">
        <v>1855</v>
      </c>
      <c r="AY33" s="1242">
        <v>0.5</v>
      </c>
    </row>
    <row r="34" spans="2:51" ht="15.6">
      <c r="B34" s="1208" t="s">
        <v>448</v>
      </c>
      <c r="C34" s="1209" t="str">
        <f t="shared" ref="C34:C59" si="36">R34</f>
        <v>長く使い続ける</v>
      </c>
      <c r="D34" s="1210">
        <f>IF(I$8=0,0,G34/I$8)</f>
        <v>0.3</v>
      </c>
      <c r="E34" s="1210">
        <f>IF(J$8=0,0,H34/J$8)</f>
        <v>0</v>
      </c>
      <c r="F34" s="1296"/>
      <c r="G34" s="1224">
        <f t="shared" si="2"/>
        <v>0.3</v>
      </c>
      <c r="H34" s="1224">
        <f t="shared" si="8"/>
        <v>0</v>
      </c>
      <c r="I34" s="1224">
        <f>G35+G46+G51</f>
        <v>1</v>
      </c>
      <c r="J34" s="1224">
        <f>H35+H46+H51</f>
        <v>0</v>
      </c>
      <c r="K34" s="1224">
        <f>IF(スコア!Q34=0,0,1)</f>
        <v>1</v>
      </c>
      <c r="L34" s="1224">
        <f>IF(スコア!R34=0,0,1)</f>
        <v>0</v>
      </c>
      <c r="M34" s="1224">
        <f t="shared" si="3"/>
        <v>0.3</v>
      </c>
      <c r="N34" s="1224">
        <f t="shared" si="4"/>
        <v>0</v>
      </c>
      <c r="O34" s="1280"/>
      <c r="P34" s="1281" t="str">
        <f t="shared" si="12"/>
        <v>QH2</v>
      </c>
      <c r="Q34" s="1281" t="str">
        <f t="shared" si="13"/>
        <v>1</v>
      </c>
      <c r="R34" s="1281" t="str">
        <f t="shared" si="14"/>
        <v>長く使い続ける</v>
      </c>
      <c r="S34" s="1282">
        <f t="shared" si="15"/>
        <v>0.3</v>
      </c>
      <c r="T34" s="1282"/>
      <c r="U34" s="1282"/>
      <c r="V34" s="1282"/>
      <c r="W34" s="1282"/>
      <c r="X34" s="1282"/>
      <c r="Y34" s="1282"/>
      <c r="Z34" s="1282"/>
      <c r="AA34" s="1282"/>
      <c r="AB34" s="1283"/>
      <c r="AC34" s="1282"/>
      <c r="AD34" s="1282"/>
      <c r="AE34" s="1292"/>
      <c r="AF34" s="1208" t="s">
        <v>448</v>
      </c>
      <c r="AG34" s="1208" t="s">
        <v>547</v>
      </c>
      <c r="AH34" s="1209" t="s">
        <v>514</v>
      </c>
      <c r="AI34" s="1238">
        <v>0.3</v>
      </c>
      <c r="AJ34" s="1293"/>
      <c r="AK34" s="1293"/>
      <c r="AL34" s="1293"/>
      <c r="AM34" s="1293"/>
      <c r="AN34" s="1293"/>
      <c r="AO34" s="1293"/>
      <c r="AP34" s="1294"/>
      <c r="AQ34" s="1293"/>
      <c r="AR34" s="1293"/>
      <c r="AS34" s="1293"/>
      <c r="AT34" s="1293"/>
      <c r="AU34" s="1295"/>
      <c r="AV34" s="1208" t="s">
        <v>448</v>
      </c>
      <c r="AW34" s="1208" t="s">
        <v>547</v>
      </c>
      <c r="AX34" s="1209" t="s">
        <v>514</v>
      </c>
      <c r="AY34" s="1238">
        <v>0.3</v>
      </c>
    </row>
    <row r="35" spans="2:51">
      <c r="B35" s="1211">
        <f t="shared" ref="B35:B59" si="37">P35</f>
        <v>1</v>
      </c>
      <c r="C35" s="1212" t="str">
        <f t="shared" si="36"/>
        <v>長寿命に対する基本性能</v>
      </c>
      <c r="D35" s="1213">
        <f>IF(I$34=0,0,G35/I$34)</f>
        <v>0.5</v>
      </c>
      <c r="E35" s="1213">
        <f>IF(J$34=0,0,H35/J$34)</f>
        <v>0</v>
      </c>
      <c r="F35" s="1279"/>
      <c r="G35" s="1218">
        <f t="shared" si="2"/>
        <v>0.5</v>
      </c>
      <c r="H35" s="1218">
        <f t="shared" si="8"/>
        <v>0</v>
      </c>
      <c r="I35" s="2486">
        <f>SUM(G36:G41)</f>
        <v>1</v>
      </c>
      <c r="J35" s="2486">
        <f>SUM(H36:H41)</f>
        <v>0</v>
      </c>
      <c r="K35" s="1218">
        <f>IF(スコア!M35=0,0,1)</f>
        <v>1</v>
      </c>
      <c r="L35" s="1218">
        <f>IF(スコア!N35=0,0,1)</f>
        <v>1</v>
      </c>
      <c r="M35" s="1218">
        <f t="shared" si="3"/>
        <v>0.5</v>
      </c>
      <c r="N35" s="1218">
        <f t="shared" si="4"/>
        <v>0</v>
      </c>
      <c r="O35" s="1280"/>
      <c r="P35" s="1211">
        <f t="shared" si="12"/>
        <v>1</v>
      </c>
      <c r="Q35" s="1211" t="str">
        <f t="shared" si="13"/>
        <v>1.2</v>
      </c>
      <c r="R35" s="1211" t="str">
        <f t="shared" si="14"/>
        <v>長寿命に対する基本性能</v>
      </c>
      <c r="S35" s="1297">
        <f t="shared" si="15"/>
        <v>0.5</v>
      </c>
      <c r="T35" s="1297"/>
      <c r="U35" s="1297"/>
      <c r="V35" s="1297"/>
      <c r="W35" s="1297"/>
      <c r="X35" s="1297"/>
      <c r="Y35" s="1297"/>
      <c r="Z35" s="1290"/>
      <c r="AA35" s="1297"/>
      <c r="AB35" s="1298"/>
      <c r="AC35" s="1297"/>
      <c r="AD35" s="1297"/>
      <c r="AE35" s="1292"/>
      <c r="AF35" s="1239">
        <v>1</v>
      </c>
      <c r="AG35" s="1239" t="s">
        <v>555</v>
      </c>
      <c r="AH35" s="1212" t="s">
        <v>565</v>
      </c>
      <c r="AI35" s="1244">
        <v>0.5</v>
      </c>
      <c r="AJ35" s="1293"/>
      <c r="AK35" s="1293"/>
      <c r="AL35" s="1293"/>
      <c r="AM35" s="1293"/>
      <c r="AN35" s="1293"/>
      <c r="AO35" s="1293"/>
      <c r="AP35" s="1294"/>
      <c r="AQ35" s="1293"/>
      <c r="AR35" s="1293"/>
      <c r="AS35" s="1293"/>
      <c r="AT35" s="1293"/>
      <c r="AU35" s="1295"/>
      <c r="AV35" s="1239">
        <v>1</v>
      </c>
      <c r="AW35" s="1239" t="s">
        <v>555</v>
      </c>
      <c r="AX35" s="1212" t="s">
        <v>565</v>
      </c>
      <c r="AY35" s="1244">
        <v>0.5</v>
      </c>
    </row>
    <row r="36" spans="2:51">
      <c r="B36" s="1214">
        <f t="shared" si="37"/>
        <v>1.1000000000000001</v>
      </c>
      <c r="C36" s="1215" t="str">
        <f t="shared" si="36"/>
        <v>躯体</v>
      </c>
      <c r="D36" s="1216">
        <f t="shared" ref="D36:D41" si="38">IF(I$35=0,0,G36/I$35)</f>
        <v>0.3</v>
      </c>
      <c r="E36" s="1216">
        <f t="shared" ref="E36:E41" si="39">IF(J$35=0,0,H36/J$35)</f>
        <v>0</v>
      </c>
      <c r="F36" s="681"/>
      <c r="G36" s="1225">
        <f t="shared" si="2"/>
        <v>0.3</v>
      </c>
      <c r="H36" s="1225">
        <f t="shared" si="8"/>
        <v>0</v>
      </c>
      <c r="I36" s="1225"/>
      <c r="J36" s="1225"/>
      <c r="K36" s="1225">
        <f>IF(スコア!M36=0,0,1)</f>
        <v>1</v>
      </c>
      <c r="L36" s="1225">
        <f>IF(スコア!N36=0,0,1)</f>
        <v>1</v>
      </c>
      <c r="M36" s="1225">
        <f t="shared" si="3"/>
        <v>0.3</v>
      </c>
      <c r="N36" s="1225">
        <f t="shared" si="4"/>
        <v>0</v>
      </c>
      <c r="O36" s="1280"/>
      <c r="P36" s="1214">
        <f t="shared" si="12"/>
        <v>1.1000000000000001</v>
      </c>
      <c r="Q36" s="1214" t="str">
        <f t="shared" si="13"/>
        <v>1.2.1</v>
      </c>
      <c r="R36" s="1214" t="str">
        <f t="shared" si="14"/>
        <v>躯体</v>
      </c>
      <c r="S36" s="1287">
        <f t="shared" si="15"/>
        <v>0.3</v>
      </c>
      <c r="T36" s="1287"/>
      <c r="U36" s="1287"/>
      <c r="V36" s="1287"/>
      <c r="W36" s="1287"/>
      <c r="X36" s="1287"/>
      <c r="Y36" s="1287"/>
      <c r="Z36" s="1291"/>
      <c r="AA36" s="1287"/>
      <c r="AB36" s="1288"/>
      <c r="AC36" s="1287"/>
      <c r="AD36" s="1287"/>
      <c r="AE36" s="1269"/>
      <c r="AF36" s="1241">
        <v>1.1000000000000001</v>
      </c>
      <c r="AG36" s="1241" t="s">
        <v>550</v>
      </c>
      <c r="AH36" s="1215" t="s">
        <v>193</v>
      </c>
      <c r="AI36" s="1242">
        <v>0.3</v>
      </c>
      <c r="AJ36" s="1235"/>
      <c r="AK36" s="1235"/>
      <c r="AL36" s="1235"/>
      <c r="AM36" s="1235"/>
      <c r="AN36" s="1235"/>
      <c r="AO36" s="1235"/>
      <c r="AP36" s="1272"/>
      <c r="AQ36" s="1235"/>
      <c r="AR36" s="1235"/>
      <c r="AS36" s="1235"/>
      <c r="AT36" s="1235"/>
      <c r="AU36" s="2621"/>
      <c r="AV36" s="1241">
        <v>1.1000000000000001</v>
      </c>
      <c r="AW36" s="1241" t="s">
        <v>550</v>
      </c>
      <c r="AX36" s="1215" t="s">
        <v>193</v>
      </c>
      <c r="AY36" s="1242">
        <v>0.25</v>
      </c>
    </row>
    <row r="37" spans="2:51">
      <c r="B37" s="1214">
        <f t="shared" si="37"/>
        <v>1.2</v>
      </c>
      <c r="C37" s="1215" t="str">
        <f t="shared" si="36"/>
        <v>外壁材</v>
      </c>
      <c r="D37" s="1216">
        <f t="shared" si="38"/>
        <v>0.1</v>
      </c>
      <c r="E37" s="1216">
        <f t="shared" si="39"/>
        <v>0</v>
      </c>
      <c r="F37" s="1299"/>
      <c r="G37" s="1225">
        <f t="shared" si="2"/>
        <v>0.1</v>
      </c>
      <c r="H37" s="1225">
        <f t="shared" si="8"/>
        <v>0</v>
      </c>
      <c r="I37" s="1225"/>
      <c r="J37" s="1225"/>
      <c r="K37" s="1225">
        <f>IF(スコア!M37=0,0,1)</f>
        <v>1</v>
      </c>
      <c r="L37" s="1225">
        <f>IF(スコア!N37=0,0,1)</f>
        <v>1</v>
      </c>
      <c r="M37" s="1225">
        <f t="shared" si="3"/>
        <v>0.1</v>
      </c>
      <c r="N37" s="1225">
        <f t="shared" si="4"/>
        <v>0</v>
      </c>
      <c r="O37" s="1280"/>
      <c r="P37" s="1214">
        <f t="shared" si="12"/>
        <v>1.2</v>
      </c>
      <c r="Q37" s="1214" t="str">
        <f t="shared" si="13"/>
        <v>1.2.1</v>
      </c>
      <c r="R37" s="1214" t="str">
        <f t="shared" si="14"/>
        <v>外壁材</v>
      </c>
      <c r="S37" s="1287">
        <f t="shared" si="15"/>
        <v>0.1</v>
      </c>
      <c r="T37" s="1287"/>
      <c r="U37" s="1287"/>
      <c r="V37" s="1287"/>
      <c r="W37" s="1287"/>
      <c r="X37" s="1287"/>
      <c r="Y37" s="1287"/>
      <c r="Z37" s="1291"/>
      <c r="AA37" s="1287"/>
      <c r="AB37" s="1288"/>
      <c r="AC37" s="1287"/>
      <c r="AD37" s="1287"/>
      <c r="AE37" s="1269"/>
      <c r="AF37" s="1241">
        <v>1.2</v>
      </c>
      <c r="AG37" s="1241" t="s">
        <v>550</v>
      </c>
      <c r="AH37" s="1215" t="s">
        <v>566</v>
      </c>
      <c r="AI37" s="1242">
        <v>0.1</v>
      </c>
      <c r="AJ37" s="1235"/>
      <c r="AK37" s="1235"/>
      <c r="AL37" s="1235"/>
      <c r="AM37" s="1235"/>
      <c r="AN37" s="1235"/>
      <c r="AO37" s="1235"/>
      <c r="AP37" s="1272"/>
      <c r="AQ37" s="1235"/>
      <c r="AR37" s="1235"/>
      <c r="AS37" s="1235"/>
      <c r="AT37" s="1235"/>
      <c r="AU37" s="2621"/>
      <c r="AV37" s="1241">
        <v>1.2</v>
      </c>
      <c r="AW37" s="1241" t="s">
        <v>550</v>
      </c>
      <c r="AX37" s="1215" t="s">
        <v>566</v>
      </c>
      <c r="AY37" s="1242">
        <v>0.1</v>
      </c>
    </row>
    <row r="38" spans="2:51">
      <c r="B38" s="1214">
        <f t="shared" si="37"/>
        <v>1.3</v>
      </c>
      <c r="C38" s="1215" t="str">
        <f t="shared" si="36"/>
        <v>屋根材、陸屋根</v>
      </c>
      <c r="D38" s="1216">
        <f t="shared" si="38"/>
        <v>0.1</v>
      </c>
      <c r="E38" s="1216">
        <f t="shared" si="39"/>
        <v>0</v>
      </c>
      <c r="F38" s="681"/>
      <c r="G38" s="1225">
        <f>K38*((S$7*S38)+(T$7*T38)+(U$7*U38)+(V$7*V38)+(W$7*W38)+(X$7*X38)+(Y$7*Y38)+(Z$7*Z38)+(AA$7*AA38))</f>
        <v>0.1</v>
      </c>
      <c r="H38" s="1225">
        <f t="shared" si="8"/>
        <v>0</v>
      </c>
      <c r="I38" s="1225"/>
      <c r="J38" s="1225"/>
      <c r="K38" s="1225">
        <f>IF(スコア!M38=0,0,1)</f>
        <v>1</v>
      </c>
      <c r="L38" s="1225">
        <f>IF(スコア!N38=0,0,1)</f>
        <v>1</v>
      </c>
      <c r="M38" s="1225">
        <f t="shared" si="3"/>
        <v>0.1</v>
      </c>
      <c r="N38" s="1225">
        <f t="shared" si="4"/>
        <v>0</v>
      </c>
      <c r="O38" s="1280"/>
      <c r="P38" s="1214">
        <f t="shared" ref="P38:Q53" si="40">IF($P$3=1,AF38,AV38)</f>
        <v>1.3</v>
      </c>
      <c r="Q38" s="1214" t="str">
        <f t="shared" si="40"/>
        <v>1.2.1</v>
      </c>
      <c r="R38" s="1214" t="str">
        <f t="shared" ref="R38:R59" si="41">IF($P$3=1,AH38,AX38)</f>
        <v>屋根材、陸屋根</v>
      </c>
      <c r="S38" s="1287">
        <f t="shared" si="15"/>
        <v>0.1</v>
      </c>
      <c r="T38" s="1287"/>
      <c r="U38" s="1287"/>
      <c r="V38" s="1287"/>
      <c r="W38" s="1287"/>
      <c r="X38" s="1287"/>
      <c r="Y38" s="1287"/>
      <c r="Z38" s="1291"/>
      <c r="AA38" s="1287"/>
      <c r="AB38" s="1288"/>
      <c r="AC38" s="1288"/>
      <c r="AD38" s="1288"/>
      <c r="AE38" s="1269"/>
      <c r="AF38" s="1241">
        <v>1.3</v>
      </c>
      <c r="AG38" s="1241" t="s">
        <v>550</v>
      </c>
      <c r="AH38" s="1215" t="s">
        <v>294</v>
      </c>
      <c r="AI38" s="1242">
        <v>0.1</v>
      </c>
      <c r="AJ38" s="1235"/>
      <c r="AK38" s="1235"/>
      <c r="AL38" s="1235"/>
      <c r="AM38" s="1235"/>
      <c r="AN38" s="1235"/>
      <c r="AO38" s="1235"/>
      <c r="AP38" s="1272"/>
      <c r="AQ38" s="1235"/>
      <c r="AR38" s="1235"/>
      <c r="AS38" s="1235"/>
      <c r="AT38" s="1235"/>
      <c r="AU38" s="2621"/>
      <c r="AV38" s="1241">
        <v>1.3</v>
      </c>
      <c r="AW38" s="1241" t="s">
        <v>550</v>
      </c>
      <c r="AX38" s="1215" t="s">
        <v>294</v>
      </c>
      <c r="AY38" s="1242">
        <v>0.1</v>
      </c>
    </row>
    <row r="39" spans="2:51" hidden="1">
      <c r="B39" s="1214">
        <f t="shared" si="37"/>
        <v>0</v>
      </c>
      <c r="C39" s="1215">
        <f t="shared" si="36"/>
        <v>0</v>
      </c>
      <c r="D39" s="1216">
        <f t="shared" si="38"/>
        <v>0</v>
      </c>
      <c r="E39" s="1216">
        <f t="shared" ref="E39" si="42">IF(J$35=0,0,H39/J$35)</f>
        <v>0</v>
      </c>
      <c r="F39" s="681"/>
      <c r="G39" s="1225">
        <f>K39*((S$7*S39)+(T$7*T39)+(U$7*U39)+(V$7*V39)+(W$7*W39)+(X$7*X39)+(Y$7*Y39)+(Z$7*Z39)+(AA$7*AA39))</f>
        <v>0</v>
      </c>
      <c r="H39" s="1225">
        <f t="shared" ref="H39" si="43">L39*((AB$7*AB39)+(AC$7*AC39)+(AD$7*AD39))</f>
        <v>0</v>
      </c>
      <c r="I39" s="1225"/>
      <c r="J39" s="1225"/>
      <c r="K39" s="1225">
        <f>IF(スコア!M39=0,0,1)</f>
        <v>1</v>
      </c>
      <c r="L39" s="1225">
        <f>IF(スコア!N39=0,0,1)</f>
        <v>0</v>
      </c>
      <c r="M39" s="1225">
        <f t="shared" ref="M39" si="44">(S$7*S39)+(T$7*T39)+(U$7*U39)+(V$7*V39)+(W$7*W39)+(X$7*X39)+(Y$7*Y39)+(Z$7*Z39)+(AA$7*AA39)</f>
        <v>0</v>
      </c>
      <c r="N39" s="1225">
        <f t="shared" ref="N39" si="45">(AB$7*AB39)+(AC$7*AC39)+(AD$7*AD39)</f>
        <v>0</v>
      </c>
      <c r="O39" s="1280"/>
      <c r="P39" s="1214">
        <f t="shared" si="40"/>
        <v>0</v>
      </c>
      <c r="Q39" s="1214">
        <f t="shared" si="40"/>
        <v>0</v>
      </c>
      <c r="R39" s="1214">
        <f t="shared" si="41"/>
        <v>0</v>
      </c>
      <c r="S39" s="1287">
        <f t="shared" ref="S39" si="46">IF($P$3=1,AI39,AY39)</f>
        <v>0</v>
      </c>
      <c r="T39" s="1287"/>
      <c r="U39" s="1287"/>
      <c r="V39" s="1287"/>
      <c r="W39" s="1287"/>
      <c r="X39" s="1287"/>
      <c r="Y39" s="1287"/>
      <c r="Z39" s="1291"/>
      <c r="AA39" s="1287"/>
      <c r="AB39" s="1288"/>
      <c r="AC39" s="1288"/>
      <c r="AD39" s="1288"/>
      <c r="AE39" s="1269"/>
      <c r="AF39" s="1241"/>
      <c r="AG39" s="1241"/>
      <c r="AH39" s="1215"/>
      <c r="AI39" s="1242"/>
      <c r="AJ39" s="1235"/>
      <c r="AK39" s="1235"/>
      <c r="AL39" s="1235"/>
      <c r="AM39" s="1235"/>
      <c r="AN39" s="1235"/>
      <c r="AO39" s="1235"/>
      <c r="AP39" s="1272"/>
      <c r="AQ39" s="1235"/>
      <c r="AR39" s="1235"/>
      <c r="AS39" s="1235"/>
      <c r="AT39" s="1235"/>
      <c r="AU39" s="2621"/>
      <c r="AV39" s="1241" t="s">
        <v>1894</v>
      </c>
      <c r="AW39" s="1241" t="s">
        <v>1897</v>
      </c>
      <c r="AX39" s="1215" t="s">
        <v>1856</v>
      </c>
      <c r="AY39" s="1242">
        <v>0.1</v>
      </c>
    </row>
    <row r="40" spans="2:51">
      <c r="B40" s="1214">
        <f t="shared" si="37"/>
        <v>1.4</v>
      </c>
      <c r="C40" s="1215" t="str">
        <f t="shared" si="36"/>
        <v>自然災害に耐える</v>
      </c>
      <c r="D40" s="1216">
        <f t="shared" si="38"/>
        <v>0.3</v>
      </c>
      <c r="E40" s="1216">
        <f t="shared" si="39"/>
        <v>0</v>
      </c>
      <c r="F40" s="681"/>
      <c r="G40" s="1225">
        <f t="shared" si="2"/>
        <v>0.3</v>
      </c>
      <c r="H40" s="1225">
        <f t="shared" si="8"/>
        <v>0</v>
      </c>
      <c r="I40" s="1225"/>
      <c r="J40" s="1225"/>
      <c r="K40" s="1225">
        <f>IF(スコア!M40=0,0,1)</f>
        <v>1</v>
      </c>
      <c r="L40" s="1225">
        <f>IF(スコア!N40=0,0,1)</f>
        <v>1</v>
      </c>
      <c r="M40" s="1225">
        <f t="shared" si="3"/>
        <v>0.3</v>
      </c>
      <c r="N40" s="1225">
        <f t="shared" si="4"/>
        <v>0</v>
      </c>
      <c r="O40" s="1280"/>
      <c r="P40" s="1214">
        <f t="shared" si="40"/>
        <v>1.4</v>
      </c>
      <c r="Q40" s="1214" t="str">
        <f t="shared" si="40"/>
        <v>1.2.1</v>
      </c>
      <c r="R40" s="1214" t="str">
        <f t="shared" si="41"/>
        <v>自然災害に耐える</v>
      </c>
      <c r="S40" s="1287">
        <f t="shared" si="15"/>
        <v>0.3</v>
      </c>
      <c r="T40" s="1287"/>
      <c r="U40" s="1287"/>
      <c r="V40" s="1287"/>
      <c r="W40" s="1287"/>
      <c r="X40" s="1287"/>
      <c r="Y40" s="1287"/>
      <c r="Z40" s="1291"/>
      <c r="AA40" s="1287"/>
      <c r="AB40" s="1288"/>
      <c r="AC40" s="1288"/>
      <c r="AD40" s="1288"/>
      <c r="AE40" s="1269"/>
      <c r="AF40" s="1241">
        <v>1.4</v>
      </c>
      <c r="AG40" s="1241" t="s">
        <v>550</v>
      </c>
      <c r="AH40" s="1215" t="s">
        <v>516</v>
      </c>
      <c r="AI40" s="1242">
        <v>0.3</v>
      </c>
      <c r="AJ40" s="1235"/>
      <c r="AK40" s="1235"/>
      <c r="AL40" s="1235"/>
      <c r="AM40" s="1235"/>
      <c r="AN40" s="1235"/>
      <c r="AO40" s="1235"/>
      <c r="AP40" s="1272"/>
      <c r="AQ40" s="1235"/>
      <c r="AR40" s="1235"/>
      <c r="AS40" s="1235"/>
      <c r="AT40" s="1235"/>
      <c r="AU40" s="2621"/>
      <c r="AV40" s="1241" t="s">
        <v>1895</v>
      </c>
      <c r="AW40" s="1241" t="s">
        <v>550</v>
      </c>
      <c r="AX40" s="1215" t="s">
        <v>516</v>
      </c>
      <c r="AY40" s="1242">
        <v>0.25</v>
      </c>
    </row>
    <row r="41" spans="2:51">
      <c r="B41" s="1214">
        <f t="shared" si="37"/>
        <v>1.5</v>
      </c>
      <c r="C41" s="1214" t="str">
        <f t="shared" si="36"/>
        <v>火災に備える</v>
      </c>
      <c r="D41" s="1216">
        <f t="shared" si="38"/>
        <v>0.2</v>
      </c>
      <c r="E41" s="1216">
        <f t="shared" si="39"/>
        <v>0</v>
      </c>
      <c r="F41" s="681"/>
      <c r="G41" s="1225">
        <f t="shared" si="2"/>
        <v>0.2</v>
      </c>
      <c r="H41" s="1225">
        <f t="shared" si="8"/>
        <v>0</v>
      </c>
      <c r="I41" s="2487">
        <f>SUM(G42:G45)</f>
        <v>1</v>
      </c>
      <c r="J41" s="2487">
        <f>SUM(H42:H45)</f>
        <v>0</v>
      </c>
      <c r="K41" s="1225">
        <f>IF(スコア!M41=0,0,1)</f>
        <v>1</v>
      </c>
      <c r="L41" s="1225">
        <f>IF(スコア!N41=0,0,1)</f>
        <v>1</v>
      </c>
      <c r="M41" s="1225">
        <f t="shared" si="3"/>
        <v>0.2</v>
      </c>
      <c r="N41" s="1225">
        <f t="shared" si="4"/>
        <v>0</v>
      </c>
      <c r="O41" s="1280"/>
      <c r="P41" s="1214">
        <f t="shared" si="40"/>
        <v>1.5</v>
      </c>
      <c r="Q41" s="1214" t="str">
        <f t="shared" si="40"/>
        <v>1.2.1</v>
      </c>
      <c r="R41" s="1214" t="str">
        <f t="shared" si="41"/>
        <v>火災に備える</v>
      </c>
      <c r="S41" s="1287">
        <f t="shared" si="15"/>
        <v>0.2</v>
      </c>
      <c r="T41" s="1287"/>
      <c r="U41" s="1287"/>
      <c r="V41" s="1287"/>
      <c r="W41" s="1287"/>
      <c r="X41" s="1287"/>
      <c r="Y41" s="1287"/>
      <c r="Z41" s="1291"/>
      <c r="AA41" s="1287"/>
      <c r="AB41" s="1288"/>
      <c r="AC41" s="1288"/>
      <c r="AD41" s="1288"/>
      <c r="AE41" s="1269"/>
      <c r="AF41" s="1241">
        <v>1.5</v>
      </c>
      <c r="AG41" s="1241" t="s">
        <v>550</v>
      </c>
      <c r="AH41" s="1215" t="s">
        <v>517</v>
      </c>
      <c r="AI41" s="1242">
        <v>0.2</v>
      </c>
      <c r="AJ41" s="1235"/>
      <c r="AK41" s="1235"/>
      <c r="AL41" s="1235"/>
      <c r="AM41" s="1235"/>
      <c r="AN41" s="1235"/>
      <c r="AO41" s="1235"/>
      <c r="AP41" s="1272"/>
      <c r="AQ41" s="1235"/>
      <c r="AR41" s="1235"/>
      <c r="AS41" s="1235"/>
      <c r="AT41" s="1235"/>
      <c r="AU41" s="2621"/>
      <c r="AV41" s="1241" t="s">
        <v>1896</v>
      </c>
      <c r="AW41" s="1241" t="s">
        <v>550</v>
      </c>
      <c r="AX41" s="1215" t="s">
        <v>517</v>
      </c>
      <c r="AY41" s="1242">
        <v>0.2</v>
      </c>
    </row>
    <row r="42" spans="2:51">
      <c r="B42" s="1214" t="str">
        <f t="shared" si="37"/>
        <v>1.5.1</v>
      </c>
      <c r="C42" s="1215" t="str">
        <f t="shared" si="36"/>
        <v>火災に耐える構造</v>
      </c>
      <c r="D42" s="2487">
        <f>IF(I$41=0,0,G42/I$41)</f>
        <v>0.65</v>
      </c>
      <c r="E42" s="2487">
        <f>IF(J$41=0,0,H42/J$41)</f>
        <v>0</v>
      </c>
      <c r="F42" s="681"/>
      <c r="G42" s="1225">
        <f t="shared" si="2"/>
        <v>0.65</v>
      </c>
      <c r="H42" s="1225">
        <f t="shared" si="8"/>
        <v>0</v>
      </c>
      <c r="I42" s="1225"/>
      <c r="J42" s="1225"/>
      <c r="K42" s="1225">
        <f>IF(スコア!M42=0,0,1)</f>
        <v>1</v>
      </c>
      <c r="L42" s="1225">
        <f>IF(スコア!N42=0,0,1)</f>
        <v>1</v>
      </c>
      <c r="M42" s="1225">
        <f t="shared" si="3"/>
        <v>0.65</v>
      </c>
      <c r="N42" s="1225">
        <f t="shared" si="4"/>
        <v>0</v>
      </c>
      <c r="O42" s="1280"/>
      <c r="P42" s="1214" t="str">
        <f t="shared" si="40"/>
        <v>1.5.1</v>
      </c>
      <c r="Q42" s="1214" t="str">
        <f t="shared" si="40"/>
        <v>1.2.1.1</v>
      </c>
      <c r="R42" s="1214" t="str">
        <f t="shared" si="41"/>
        <v>火災に耐える構造</v>
      </c>
      <c r="S42" s="1287">
        <f t="shared" si="15"/>
        <v>0.65</v>
      </c>
      <c r="T42" s="1287"/>
      <c r="U42" s="1287"/>
      <c r="V42" s="1287"/>
      <c r="W42" s="1287"/>
      <c r="X42" s="1287"/>
      <c r="Y42" s="1287"/>
      <c r="Z42" s="1291"/>
      <c r="AA42" s="1287"/>
      <c r="AB42" s="1288"/>
      <c r="AC42" s="1288"/>
      <c r="AD42" s="1288"/>
      <c r="AE42" s="1269"/>
      <c r="AF42" s="1241" t="s">
        <v>556</v>
      </c>
      <c r="AG42" s="1241" t="s">
        <v>50</v>
      </c>
      <c r="AH42" s="1215" t="s">
        <v>264</v>
      </c>
      <c r="AI42" s="1242">
        <v>0.65</v>
      </c>
      <c r="AJ42" s="1235"/>
      <c r="AK42" s="1235"/>
      <c r="AL42" s="1235"/>
      <c r="AM42" s="1235"/>
      <c r="AN42" s="1235"/>
      <c r="AO42" s="1235"/>
      <c r="AP42" s="1272"/>
      <c r="AQ42" s="1235"/>
      <c r="AR42" s="1235"/>
      <c r="AS42" s="1235"/>
      <c r="AT42" s="1235"/>
      <c r="AU42" s="2621"/>
      <c r="AV42" s="1241" t="s">
        <v>1898</v>
      </c>
      <c r="AW42" s="1241" t="s">
        <v>50</v>
      </c>
      <c r="AX42" s="1215" t="s">
        <v>1858</v>
      </c>
      <c r="AY42" s="1242">
        <v>0.3</v>
      </c>
    </row>
    <row r="43" spans="2:51" hidden="1">
      <c r="B43" s="1214">
        <f t="shared" si="37"/>
        <v>0</v>
      </c>
      <c r="C43" s="1215">
        <f t="shared" si="36"/>
        <v>0</v>
      </c>
      <c r="D43" s="2487">
        <f t="shared" ref="D43:D45" si="47">IF(I$41=0,0,G43/I$41)</f>
        <v>0</v>
      </c>
      <c r="E43" s="2487">
        <f t="shared" ref="E43:E44" si="48">IF(J$41=0,0,H43/J$41)</f>
        <v>0</v>
      </c>
      <c r="F43" s="681"/>
      <c r="G43" s="1225">
        <f t="shared" ref="G43" si="49">K43*((S$7*S43)+(T$7*T43)+(U$7*U43)+(V$7*V43)+(W$7*W43)+(X$7*X43)+(Y$7*Y43)+(Z$7*Z43)+(AA$7*AA43))</f>
        <v>0</v>
      </c>
      <c r="H43" s="1225">
        <f>L43*((AB$7*AB43)+(AC$7*AC43)+(AD$7*AD43))</f>
        <v>0</v>
      </c>
      <c r="I43" s="1225"/>
      <c r="J43" s="1225"/>
      <c r="K43" s="1225">
        <f>IF(スコア!M43=0,0,1)</f>
        <v>1</v>
      </c>
      <c r="L43" s="1225">
        <f>IF(スコア!N43=0,0,1)</f>
        <v>0</v>
      </c>
      <c r="M43" s="1225">
        <f t="shared" ref="M43" si="50">(S$7*S43)+(T$7*T43)+(U$7*U43)+(V$7*V43)+(W$7*W43)+(X$7*X43)+(Y$7*Y43)+(Z$7*Z43)+(AA$7*AA43)</f>
        <v>0</v>
      </c>
      <c r="N43" s="1225">
        <f t="shared" ref="N43" si="51">(AB$7*AB43)+(AC$7*AC43)+(AD$7*AD43)</f>
        <v>0</v>
      </c>
      <c r="O43" s="1280"/>
      <c r="P43" s="1214">
        <f t="shared" si="40"/>
        <v>0</v>
      </c>
      <c r="Q43" s="1214">
        <f t="shared" si="40"/>
        <v>0</v>
      </c>
      <c r="R43" s="1214">
        <f t="shared" si="41"/>
        <v>0</v>
      </c>
      <c r="S43" s="1287">
        <f t="shared" ref="S43:S59" si="52">IF($P$3=1,AI43,AY43)</f>
        <v>0</v>
      </c>
      <c r="T43" s="1287"/>
      <c r="U43" s="1287"/>
      <c r="V43" s="1287"/>
      <c r="W43" s="1287"/>
      <c r="X43" s="1287"/>
      <c r="Y43" s="1287"/>
      <c r="Z43" s="1291"/>
      <c r="AA43" s="1287"/>
      <c r="AB43" s="1288"/>
      <c r="AC43" s="1288"/>
      <c r="AD43" s="1288"/>
      <c r="AE43" s="1269"/>
      <c r="AF43" s="1241"/>
      <c r="AG43" s="1241"/>
      <c r="AH43" s="1215"/>
      <c r="AI43" s="1242"/>
      <c r="AJ43" s="1235"/>
      <c r="AK43" s="1235"/>
      <c r="AL43" s="1235"/>
      <c r="AM43" s="1235"/>
      <c r="AN43" s="1235"/>
      <c r="AO43" s="1235"/>
      <c r="AP43" s="1272"/>
      <c r="AQ43" s="1235"/>
      <c r="AR43" s="1235"/>
      <c r="AS43" s="1235"/>
      <c r="AT43" s="1235"/>
      <c r="AU43" s="2621"/>
      <c r="AV43" s="1241" t="s">
        <v>1899</v>
      </c>
      <c r="AW43" s="1241" t="s">
        <v>50</v>
      </c>
      <c r="AX43" s="1215" t="s">
        <v>1859</v>
      </c>
      <c r="AY43" s="1242">
        <v>0.3</v>
      </c>
    </row>
    <row r="44" spans="2:51">
      <c r="B44" s="1214" t="str">
        <f t="shared" si="37"/>
        <v>1.5.2</v>
      </c>
      <c r="C44" s="1215" t="str">
        <f t="shared" si="36"/>
        <v>火災の早期感知</v>
      </c>
      <c r="D44" s="2487">
        <f t="shared" si="47"/>
        <v>0.35</v>
      </c>
      <c r="E44" s="2487">
        <f t="shared" si="48"/>
        <v>0</v>
      </c>
      <c r="F44" s="681"/>
      <c r="G44" s="1225">
        <f t="shared" si="2"/>
        <v>0.35</v>
      </c>
      <c r="H44" s="1225">
        <f>L44*((AB$7*AB44)+(AC$7*AC44)+(AD$7*AD44))</f>
        <v>0</v>
      </c>
      <c r="I44" s="1225"/>
      <c r="J44" s="1225"/>
      <c r="K44" s="1225">
        <f>IF(スコア!M44=0,0,1)</f>
        <v>1</v>
      </c>
      <c r="L44" s="1225">
        <f>IF(スコア!N44=0,0,1)</f>
        <v>1</v>
      </c>
      <c r="M44" s="1225">
        <f t="shared" si="3"/>
        <v>0.35</v>
      </c>
      <c r="N44" s="1225">
        <f t="shared" si="4"/>
        <v>0</v>
      </c>
      <c r="O44" s="1280"/>
      <c r="P44" s="1214" t="str">
        <f t="shared" si="40"/>
        <v>1.5.2</v>
      </c>
      <c r="Q44" s="1214" t="str">
        <f t="shared" si="40"/>
        <v>1.2.1.1</v>
      </c>
      <c r="R44" s="1214" t="str">
        <f t="shared" si="41"/>
        <v>火災の早期感知</v>
      </c>
      <c r="S44" s="1287">
        <f t="shared" si="52"/>
        <v>0.35</v>
      </c>
      <c r="T44" s="1287"/>
      <c r="U44" s="1287"/>
      <c r="V44" s="1287"/>
      <c r="W44" s="1287"/>
      <c r="X44" s="1287"/>
      <c r="Y44" s="1287"/>
      <c r="Z44" s="1291"/>
      <c r="AA44" s="1287"/>
      <c r="AB44" s="1288"/>
      <c r="AC44" s="1288"/>
      <c r="AD44" s="1288"/>
      <c r="AE44" s="1269"/>
      <c r="AF44" s="1241" t="s">
        <v>557</v>
      </c>
      <c r="AG44" s="1241" t="s">
        <v>50</v>
      </c>
      <c r="AH44" s="1215" t="s">
        <v>518</v>
      </c>
      <c r="AI44" s="1242">
        <v>0.35</v>
      </c>
      <c r="AJ44" s="1235"/>
      <c r="AK44" s="1235"/>
      <c r="AL44" s="1235"/>
      <c r="AM44" s="1235"/>
      <c r="AN44" s="1235"/>
      <c r="AO44" s="1235"/>
      <c r="AP44" s="1272"/>
      <c r="AQ44" s="1235"/>
      <c r="AR44" s="1235"/>
      <c r="AS44" s="1235"/>
      <c r="AT44" s="1235"/>
      <c r="AU44" s="2621"/>
      <c r="AV44" s="1241" t="s">
        <v>1900</v>
      </c>
      <c r="AW44" s="1241" t="s">
        <v>50</v>
      </c>
      <c r="AX44" s="1215" t="s">
        <v>1860</v>
      </c>
      <c r="AY44" s="1242">
        <v>0.2</v>
      </c>
    </row>
    <row r="45" spans="2:51" hidden="1">
      <c r="B45" s="1214">
        <f t="shared" si="37"/>
        <v>0</v>
      </c>
      <c r="C45" s="1215">
        <f t="shared" si="36"/>
        <v>0</v>
      </c>
      <c r="D45" s="2487">
        <f t="shared" si="47"/>
        <v>0</v>
      </c>
      <c r="E45" s="2487">
        <f>IF(J$41=0,0,H45/J$41)</f>
        <v>0</v>
      </c>
      <c r="F45" s="681"/>
      <c r="G45" s="1225">
        <f t="shared" ref="G45" si="53">K45*((S$7*S45)+(T$7*T45)+(U$7*U45)+(V$7*V45)+(W$7*W45)+(X$7*X45)+(Y$7*Y45)+(Z$7*Z45)+(AA$7*AA45))</f>
        <v>0</v>
      </c>
      <c r="H45" s="1225">
        <f t="shared" ref="H45" si="54">L45*((AB$7*AB45)+(AC$7*AC45)+(AD$7*AD45))</f>
        <v>0</v>
      </c>
      <c r="I45" s="1225"/>
      <c r="J45" s="1225"/>
      <c r="K45" s="1225">
        <f>IF(スコア!M45=0,0,1)</f>
        <v>1</v>
      </c>
      <c r="L45" s="1225">
        <f>IF(スコア!N45=0,0,1)</f>
        <v>0</v>
      </c>
      <c r="M45" s="1225">
        <f t="shared" ref="M45" si="55">(S$7*S45)+(T$7*T45)+(U$7*U45)+(V$7*V45)+(W$7*W45)+(X$7*X45)+(Y$7*Y45)+(Z$7*Z45)+(AA$7*AA45)</f>
        <v>0</v>
      </c>
      <c r="N45" s="1225">
        <f t="shared" ref="N45" si="56">(AB$7*AB45)+(AC$7*AC45)+(AD$7*AD45)</f>
        <v>0</v>
      </c>
      <c r="O45" s="1280"/>
      <c r="P45" s="1214">
        <f t="shared" si="40"/>
        <v>0</v>
      </c>
      <c r="Q45" s="1214">
        <f t="shared" si="40"/>
        <v>0</v>
      </c>
      <c r="R45" s="1214">
        <f t="shared" si="41"/>
        <v>0</v>
      </c>
      <c r="S45" s="1287">
        <f t="shared" si="52"/>
        <v>0</v>
      </c>
      <c r="T45" s="1287"/>
      <c r="U45" s="1287"/>
      <c r="V45" s="1287"/>
      <c r="W45" s="1287"/>
      <c r="X45" s="1287"/>
      <c r="Y45" s="1287"/>
      <c r="Z45" s="1291"/>
      <c r="AA45" s="1287"/>
      <c r="AB45" s="1288"/>
      <c r="AC45" s="1288"/>
      <c r="AD45" s="1288"/>
      <c r="AE45" s="1269"/>
      <c r="AF45" s="1241"/>
      <c r="AG45" s="1241"/>
      <c r="AH45" s="1215"/>
      <c r="AI45" s="1242"/>
      <c r="AJ45" s="1235"/>
      <c r="AK45" s="1235"/>
      <c r="AL45" s="1235"/>
      <c r="AM45" s="1235"/>
      <c r="AN45" s="1235"/>
      <c r="AO45" s="1235"/>
      <c r="AP45" s="1272"/>
      <c r="AQ45" s="1235"/>
      <c r="AR45" s="1235"/>
      <c r="AS45" s="1235"/>
      <c r="AT45" s="1235"/>
      <c r="AU45" s="2621"/>
      <c r="AV45" s="1241" t="s">
        <v>1901</v>
      </c>
      <c r="AW45" s="1241" t="s">
        <v>50</v>
      </c>
      <c r="AX45" s="1215" t="s">
        <v>1861</v>
      </c>
      <c r="AY45" s="1242">
        <v>0.2</v>
      </c>
    </row>
    <row r="46" spans="2:51">
      <c r="B46" s="1211">
        <f t="shared" si="37"/>
        <v>2</v>
      </c>
      <c r="C46" s="1212" t="str">
        <f t="shared" si="36"/>
        <v>維持管理</v>
      </c>
      <c r="D46" s="1218">
        <f>IF(I$34=0,0,G46/I$34)</f>
        <v>0.25</v>
      </c>
      <c r="E46" s="1218">
        <f>IF(J$34=0,0,H46/J$34)</f>
        <v>0</v>
      </c>
      <c r="F46" s="1279"/>
      <c r="G46" s="1218">
        <f t="shared" si="2"/>
        <v>0.25</v>
      </c>
      <c r="H46" s="1218">
        <f t="shared" si="8"/>
        <v>0</v>
      </c>
      <c r="I46" s="1218">
        <f>G47+G50</f>
        <v>1</v>
      </c>
      <c r="J46" s="1218">
        <f>H47+H50</f>
        <v>0</v>
      </c>
      <c r="K46" s="1218">
        <f>IF(スコア!M46=0,0,1)</f>
        <v>1</v>
      </c>
      <c r="L46" s="1218">
        <f>IF(スコア!N46=0,0,1)</f>
        <v>1</v>
      </c>
      <c r="M46" s="1218">
        <f t="shared" si="3"/>
        <v>0.25</v>
      </c>
      <c r="N46" s="1218">
        <f t="shared" si="4"/>
        <v>0</v>
      </c>
      <c r="O46" s="1280"/>
      <c r="P46" s="1211">
        <f t="shared" si="40"/>
        <v>2</v>
      </c>
      <c r="Q46" s="1214" t="str">
        <f t="shared" si="40"/>
        <v>1.2</v>
      </c>
      <c r="R46" s="1211" t="str">
        <f t="shared" si="41"/>
        <v>維持管理</v>
      </c>
      <c r="S46" s="1284">
        <f t="shared" si="52"/>
        <v>0.25</v>
      </c>
      <c r="T46" s="1284"/>
      <c r="U46" s="1284"/>
      <c r="V46" s="1284"/>
      <c r="W46" s="1284"/>
      <c r="X46" s="1284"/>
      <c r="Y46" s="1284"/>
      <c r="Z46" s="1300"/>
      <c r="AA46" s="1284"/>
      <c r="AB46" s="1286"/>
      <c r="AC46" s="1284"/>
      <c r="AD46" s="1284"/>
      <c r="AE46" s="1269"/>
      <c r="AF46" s="1239">
        <v>2</v>
      </c>
      <c r="AG46" s="1239" t="s">
        <v>555</v>
      </c>
      <c r="AH46" s="1212" t="s">
        <v>519</v>
      </c>
      <c r="AI46" s="1240">
        <v>0.25</v>
      </c>
      <c r="AJ46" s="1235"/>
      <c r="AK46" s="1235"/>
      <c r="AL46" s="1235"/>
      <c r="AM46" s="1235"/>
      <c r="AN46" s="1235"/>
      <c r="AO46" s="1235"/>
      <c r="AP46" s="1272"/>
      <c r="AQ46" s="1235"/>
      <c r="AR46" s="1235"/>
      <c r="AS46" s="1235"/>
      <c r="AT46" s="1235"/>
      <c r="AU46" s="2621"/>
      <c r="AV46" s="1239">
        <v>2</v>
      </c>
      <c r="AW46" s="1239" t="s">
        <v>555</v>
      </c>
      <c r="AX46" s="1212" t="s">
        <v>519</v>
      </c>
      <c r="AY46" s="1240">
        <v>0.25</v>
      </c>
    </row>
    <row r="47" spans="2:51">
      <c r="B47" s="1214">
        <f t="shared" si="37"/>
        <v>2.1</v>
      </c>
      <c r="C47" s="1215" t="str">
        <f t="shared" si="36"/>
        <v>維持管理のしやすさ</v>
      </c>
      <c r="D47" s="1216">
        <f>IF(I$46=0,0,G47/I$46)</f>
        <v>0.65</v>
      </c>
      <c r="E47" s="1216">
        <f>IF(J$46=0,0,H47/J$46)</f>
        <v>0</v>
      </c>
      <c r="F47" s="681"/>
      <c r="G47" s="1225">
        <f>K47*((S$7*S47)+(T$7*T47)+(U$7*U47)+(V$7*V47)+(W$7*W47)+(X$7*X47)+(Y$7*Y47)+(Z$7*Z47)+(AA$7*AA47))</f>
        <v>0.65</v>
      </c>
      <c r="H47" s="1225">
        <f t="shared" si="8"/>
        <v>0</v>
      </c>
      <c r="I47" s="2487">
        <f>SUM(G48:G49)</f>
        <v>1</v>
      </c>
      <c r="J47" s="2487">
        <f>SUM(H48:H49)</f>
        <v>0</v>
      </c>
      <c r="K47" s="1225">
        <f>IF(スコア!M47=0,0,1)</f>
        <v>1</v>
      </c>
      <c r="L47" s="1225">
        <f>IF(スコア!N47=0,0,1)</f>
        <v>1</v>
      </c>
      <c r="M47" s="1225">
        <f t="shared" si="3"/>
        <v>0.65</v>
      </c>
      <c r="N47" s="1225">
        <f t="shared" si="4"/>
        <v>0</v>
      </c>
      <c r="O47" s="1280"/>
      <c r="P47" s="1214">
        <f t="shared" si="40"/>
        <v>2.1</v>
      </c>
      <c r="Q47" s="1214" t="str">
        <f t="shared" si="40"/>
        <v>1.2.2</v>
      </c>
      <c r="R47" s="1214" t="str">
        <f t="shared" si="41"/>
        <v>維持管理のしやすさ</v>
      </c>
      <c r="S47" s="1287">
        <f t="shared" si="52"/>
        <v>0.65</v>
      </c>
      <c r="T47" s="1287"/>
      <c r="U47" s="1287"/>
      <c r="V47" s="1287"/>
      <c r="W47" s="1287"/>
      <c r="X47" s="1287"/>
      <c r="Y47" s="1287"/>
      <c r="Z47" s="1289"/>
      <c r="AA47" s="1287"/>
      <c r="AB47" s="1288"/>
      <c r="AC47" s="1287"/>
      <c r="AD47" s="1287"/>
      <c r="AE47" s="1269"/>
      <c r="AF47" s="1241">
        <v>2.1</v>
      </c>
      <c r="AG47" s="1241" t="s">
        <v>552</v>
      </c>
      <c r="AH47" s="1215" t="s">
        <v>521</v>
      </c>
      <c r="AI47" s="1242">
        <v>0.65</v>
      </c>
      <c r="AJ47" s="1235"/>
      <c r="AK47" s="1235"/>
      <c r="AL47" s="1235"/>
      <c r="AM47" s="1235"/>
      <c r="AN47" s="1235"/>
      <c r="AO47" s="1235"/>
      <c r="AP47" s="1272"/>
      <c r="AQ47" s="1235"/>
      <c r="AR47" s="1235"/>
      <c r="AS47" s="1235"/>
      <c r="AT47" s="1235"/>
      <c r="AU47" s="2621"/>
      <c r="AV47" s="1241">
        <v>2.1</v>
      </c>
      <c r="AW47" s="1241" t="s">
        <v>552</v>
      </c>
      <c r="AX47" s="1215" t="s">
        <v>521</v>
      </c>
      <c r="AY47" s="1242">
        <v>0.65</v>
      </c>
    </row>
    <row r="48" spans="2:51">
      <c r="B48" s="1217">
        <f t="shared" si="37"/>
        <v>0</v>
      </c>
      <c r="C48" s="9" t="str">
        <f t="shared" si="36"/>
        <v>維持管理のしやすさ</v>
      </c>
      <c r="D48" s="2487">
        <f>IF(I$47=0,0,G48/I$47)</f>
        <v>1</v>
      </c>
      <c r="E48" s="2487">
        <f>IF(J$47=0,0,H48/J$47)</f>
        <v>0</v>
      </c>
      <c r="F48" s="681"/>
      <c r="G48" s="1216">
        <f>K48*((S$7*S48)+(T$7*T48)+(U$7*U48)+(V$7*V48)+(W$7*W48)+(X$7*X48)+(Y$7*Y48)+(Z$7*Z48)+(AA$7*AA48))</f>
        <v>1</v>
      </c>
      <c r="H48" s="1225">
        <f>L48*((AB$7*AB48)+(AC$7*AC48)+(AD$7*AD48))</f>
        <v>0</v>
      </c>
      <c r="I48" s="1216"/>
      <c r="J48" s="1220"/>
      <c r="K48" s="1225">
        <f>IF(スコア!M48=0,0,1)</f>
        <v>1</v>
      </c>
      <c r="L48" s="1225">
        <f>IF(スコア!O48=0,0,1)</f>
        <v>0</v>
      </c>
      <c r="M48" s="1225">
        <f t="shared" si="3"/>
        <v>1</v>
      </c>
      <c r="N48" s="1225">
        <f t="shared" si="4"/>
        <v>0</v>
      </c>
      <c r="O48" s="1280"/>
      <c r="P48" s="1214">
        <f t="shared" si="40"/>
        <v>0</v>
      </c>
      <c r="Q48" s="1214">
        <f t="shared" si="40"/>
        <v>0</v>
      </c>
      <c r="R48" s="1214" t="str">
        <f t="shared" si="41"/>
        <v>維持管理のしやすさ</v>
      </c>
      <c r="S48" s="1287">
        <f t="shared" si="52"/>
        <v>1</v>
      </c>
      <c r="T48" s="1287"/>
      <c r="U48" s="1287"/>
      <c r="V48" s="1287"/>
      <c r="W48" s="1287"/>
      <c r="X48" s="1287"/>
      <c r="Y48" s="1287"/>
      <c r="Z48" s="1289"/>
      <c r="AA48" s="1287"/>
      <c r="AB48" s="1288"/>
      <c r="AC48" s="1287"/>
      <c r="AD48" s="1287"/>
      <c r="AE48" s="1269"/>
      <c r="AF48" s="1241"/>
      <c r="AG48" s="1241"/>
      <c r="AH48" s="1215" t="str">
        <f>AH47</f>
        <v>維持管理のしやすさ</v>
      </c>
      <c r="AI48" s="1242">
        <v>1</v>
      </c>
      <c r="AJ48" s="1235"/>
      <c r="AK48" s="1235"/>
      <c r="AL48" s="1235"/>
      <c r="AM48" s="1235"/>
      <c r="AN48" s="1235"/>
      <c r="AO48" s="1235"/>
      <c r="AP48" s="1272"/>
      <c r="AQ48" s="1235"/>
      <c r="AR48" s="1235"/>
      <c r="AS48" s="1235"/>
      <c r="AT48" s="1235"/>
      <c r="AU48" s="2621"/>
      <c r="AV48" s="1241" t="s">
        <v>1912</v>
      </c>
      <c r="AW48" s="1241" t="s">
        <v>1920</v>
      </c>
      <c r="AX48" s="1215" t="s">
        <v>1862</v>
      </c>
      <c r="AY48" s="1242">
        <v>0.35</v>
      </c>
    </row>
    <row r="49" spans="1:51" hidden="1">
      <c r="B49" s="1217">
        <f t="shared" si="37"/>
        <v>0</v>
      </c>
      <c r="C49" s="9">
        <f t="shared" si="36"/>
        <v>0</v>
      </c>
      <c r="D49" s="2487">
        <f>IF(I$47=0,0,G49/I$47)</f>
        <v>0</v>
      </c>
      <c r="E49" s="2487">
        <f>IF(J$47=0,0,H49/J$47)</f>
        <v>0</v>
      </c>
      <c r="F49" s="681"/>
      <c r="G49" s="1216">
        <f t="shared" ref="G49" si="57">K49*((S$7*S49)+(T$7*T49)+(U$7*U49)+(V$7*V49)+(W$7*W49)+(X$7*X49)+(Y$7*Y49)+(Z$7*Z49)+(AA$7*AA49))</f>
        <v>0</v>
      </c>
      <c r="H49" s="1225">
        <f t="shared" ref="H49" si="58">L49*((AB$7*AB49)+(AC$7*AC49)+(AD$7*AD49))</f>
        <v>0</v>
      </c>
      <c r="I49" s="1216"/>
      <c r="J49" s="1225"/>
      <c r="K49" s="1225">
        <f>IF(スコア!M49=0,0,1)</f>
        <v>1</v>
      </c>
      <c r="L49" s="1225">
        <f>IF(スコア!O49=0,0,1)</f>
        <v>0</v>
      </c>
      <c r="M49" s="1225">
        <f t="shared" si="3"/>
        <v>0</v>
      </c>
      <c r="N49" s="1225">
        <f t="shared" si="4"/>
        <v>0</v>
      </c>
      <c r="O49" s="1280"/>
      <c r="P49" s="1214">
        <f t="shared" si="40"/>
        <v>0</v>
      </c>
      <c r="Q49" s="1214">
        <f t="shared" si="40"/>
        <v>0</v>
      </c>
      <c r="R49" s="1214">
        <f t="shared" si="41"/>
        <v>0</v>
      </c>
      <c r="S49" s="1287">
        <f t="shared" si="52"/>
        <v>0</v>
      </c>
      <c r="T49" s="1287"/>
      <c r="U49" s="1287"/>
      <c r="V49" s="1287"/>
      <c r="W49" s="1287"/>
      <c r="X49" s="1287"/>
      <c r="Y49" s="1287"/>
      <c r="Z49" s="1289"/>
      <c r="AA49" s="1287"/>
      <c r="AB49" s="1288"/>
      <c r="AC49" s="1287"/>
      <c r="AD49" s="1287"/>
      <c r="AE49" s="1269"/>
      <c r="AF49" s="1241"/>
      <c r="AG49" s="1241"/>
      <c r="AH49" s="1215"/>
      <c r="AI49" s="1242"/>
      <c r="AJ49" s="1235"/>
      <c r="AK49" s="1235"/>
      <c r="AL49" s="1235"/>
      <c r="AM49" s="1235"/>
      <c r="AN49" s="1235"/>
      <c r="AO49" s="1235"/>
      <c r="AP49" s="1272"/>
      <c r="AQ49" s="1235"/>
      <c r="AR49" s="1235"/>
      <c r="AS49" s="1235"/>
      <c r="AT49" s="1235"/>
      <c r="AU49" s="2621"/>
      <c r="AV49" s="1241" t="s">
        <v>1913</v>
      </c>
      <c r="AW49" s="1241" t="s">
        <v>1920</v>
      </c>
      <c r="AX49" s="1215" t="s">
        <v>1863</v>
      </c>
      <c r="AY49" s="1242">
        <v>0.65</v>
      </c>
    </row>
    <row r="50" spans="1:51">
      <c r="B50" s="1214">
        <f t="shared" si="37"/>
        <v>2.2000000000000002</v>
      </c>
      <c r="C50" s="1215" t="str">
        <f t="shared" si="36"/>
        <v>維持管理の計画・体制</v>
      </c>
      <c r="D50" s="1216">
        <f>IF(I$46=0,0,G50/I$46)</f>
        <v>0.35</v>
      </c>
      <c r="E50" s="1216">
        <f>IF(J$46=0,0,H50/J$46)</f>
        <v>0</v>
      </c>
      <c r="F50" s="681"/>
      <c r="G50" s="1225">
        <f t="shared" si="2"/>
        <v>0.35</v>
      </c>
      <c r="H50" s="1225">
        <f t="shared" si="8"/>
        <v>0</v>
      </c>
      <c r="I50" s="1225"/>
      <c r="J50" s="1225"/>
      <c r="K50" s="1225">
        <f>IF(スコア!M50=0,0,1)</f>
        <v>1</v>
      </c>
      <c r="L50" s="1225">
        <f>IF(スコア!N50=0,0,1)</f>
        <v>1</v>
      </c>
      <c r="M50" s="1225">
        <f t="shared" si="3"/>
        <v>0.35</v>
      </c>
      <c r="N50" s="1225">
        <f t="shared" si="4"/>
        <v>0</v>
      </c>
      <c r="O50" s="1280"/>
      <c r="P50" s="1214">
        <f t="shared" si="40"/>
        <v>2.2000000000000002</v>
      </c>
      <c r="Q50" s="1214" t="str">
        <f t="shared" si="40"/>
        <v>1.2.2</v>
      </c>
      <c r="R50" s="1214" t="str">
        <f t="shared" si="41"/>
        <v>維持管理の計画・体制</v>
      </c>
      <c r="S50" s="1287">
        <f t="shared" si="52"/>
        <v>0.35</v>
      </c>
      <c r="T50" s="1287"/>
      <c r="U50" s="1287"/>
      <c r="V50" s="1287"/>
      <c r="W50" s="1287"/>
      <c r="X50" s="1287"/>
      <c r="Y50" s="1287"/>
      <c r="Z50" s="1289"/>
      <c r="AA50" s="1287"/>
      <c r="AB50" s="1288"/>
      <c r="AC50" s="1287"/>
      <c r="AD50" s="1287"/>
      <c r="AE50" s="1269"/>
      <c r="AF50" s="1241">
        <v>2.2000000000000002</v>
      </c>
      <c r="AG50" s="1241" t="s">
        <v>552</v>
      </c>
      <c r="AH50" s="1215" t="s">
        <v>265</v>
      </c>
      <c r="AI50" s="1242">
        <v>0.35</v>
      </c>
      <c r="AJ50" s="1235"/>
      <c r="AK50" s="1235"/>
      <c r="AL50" s="1235"/>
      <c r="AM50" s="1235"/>
      <c r="AN50" s="1235"/>
      <c r="AO50" s="1235"/>
      <c r="AP50" s="1272"/>
      <c r="AQ50" s="1235"/>
      <c r="AR50" s="1235"/>
      <c r="AS50" s="1235"/>
      <c r="AT50" s="1235"/>
      <c r="AU50" s="2621"/>
      <c r="AV50" s="1241">
        <v>2.2000000000000002</v>
      </c>
      <c r="AW50" s="1241" t="s">
        <v>552</v>
      </c>
      <c r="AX50" s="1215" t="s">
        <v>265</v>
      </c>
      <c r="AY50" s="1242">
        <v>0.35</v>
      </c>
    </row>
    <row r="51" spans="1:51">
      <c r="B51" s="1211">
        <f t="shared" si="37"/>
        <v>3</v>
      </c>
      <c r="C51" s="1212" t="str">
        <f t="shared" si="36"/>
        <v>機能性</v>
      </c>
      <c r="D51" s="1218">
        <f>IF(I$34=0,0,G51/I$34)</f>
        <v>0.25</v>
      </c>
      <c r="E51" s="1218">
        <f>IF(J$34=0,0,H51/J$34)</f>
        <v>0</v>
      </c>
      <c r="F51" s="1279"/>
      <c r="G51" s="1218">
        <f t="shared" si="2"/>
        <v>0.25</v>
      </c>
      <c r="H51" s="1218">
        <f t="shared" si="8"/>
        <v>0</v>
      </c>
      <c r="I51" s="1218">
        <f>G52+G54+G57</f>
        <v>1</v>
      </c>
      <c r="J51" s="1218">
        <f>H52+H54+H57</f>
        <v>0</v>
      </c>
      <c r="K51" s="1218">
        <f>IF(スコア!M51=0,0,1)</f>
        <v>1</v>
      </c>
      <c r="L51" s="1218">
        <f>IF(スコア!N51=0,0,1)</f>
        <v>1</v>
      </c>
      <c r="M51" s="1218">
        <f t="shared" ref="M51:M66" si="59">(S$7*S51)+(T$7*T51)+(U$7*U51)+(V$7*V51)+(W$7*W51)+(X$7*X51)+(Y$7*Y51)+(Z$7*Z51)+(AA$7*AA51)</f>
        <v>0.25</v>
      </c>
      <c r="N51" s="1218">
        <f t="shared" ref="N51:N66" si="60">(AB$7*AB51)+(AC$7*AC51)+(AD$7*AD51)</f>
        <v>0</v>
      </c>
      <c r="O51" s="1280"/>
      <c r="P51" s="1211">
        <f t="shared" si="40"/>
        <v>3</v>
      </c>
      <c r="Q51" s="1214" t="str">
        <f t="shared" si="40"/>
        <v>1.2</v>
      </c>
      <c r="R51" s="1211" t="str">
        <f t="shared" si="41"/>
        <v>機能性</v>
      </c>
      <c r="S51" s="1284">
        <f t="shared" si="52"/>
        <v>0.25</v>
      </c>
      <c r="T51" s="1284"/>
      <c r="U51" s="1284"/>
      <c r="V51" s="1284"/>
      <c r="W51" s="1284"/>
      <c r="X51" s="1284"/>
      <c r="Y51" s="1284"/>
      <c r="Z51" s="1300"/>
      <c r="AA51" s="1284"/>
      <c r="AB51" s="1286"/>
      <c r="AC51" s="1284"/>
      <c r="AD51" s="1284"/>
      <c r="AE51" s="1269"/>
      <c r="AF51" s="1239">
        <v>3</v>
      </c>
      <c r="AG51" s="1239" t="s">
        <v>555</v>
      </c>
      <c r="AH51" s="1212" t="s">
        <v>352</v>
      </c>
      <c r="AI51" s="1244">
        <v>0.25</v>
      </c>
      <c r="AJ51" s="1235"/>
      <c r="AK51" s="1235"/>
      <c r="AL51" s="1235"/>
      <c r="AM51" s="1235"/>
      <c r="AN51" s="1235"/>
      <c r="AO51" s="1235"/>
      <c r="AP51" s="1272"/>
      <c r="AQ51" s="1235"/>
      <c r="AR51" s="1235"/>
      <c r="AS51" s="1235"/>
      <c r="AT51" s="1235"/>
      <c r="AU51" s="2621"/>
      <c r="AV51" s="1239">
        <v>3</v>
      </c>
      <c r="AW51" s="1239" t="s">
        <v>555</v>
      </c>
      <c r="AX51" s="1212" t="s">
        <v>352</v>
      </c>
      <c r="AY51" s="1244">
        <v>0.25</v>
      </c>
    </row>
    <row r="52" spans="1:51">
      <c r="B52" s="1217">
        <f t="shared" si="37"/>
        <v>3.1</v>
      </c>
      <c r="C52" s="9" t="str">
        <f t="shared" si="36"/>
        <v>広さと間取り</v>
      </c>
      <c r="D52" s="1216">
        <f>IF(I$51=0,0,G52/I$51)</f>
        <v>0.33333333333333331</v>
      </c>
      <c r="E52" s="1216">
        <f>IF(J$51=0,0,H52/J$51)</f>
        <v>0</v>
      </c>
      <c r="F52" s="681"/>
      <c r="G52" s="1216">
        <f t="shared" ref="G52:G53" si="61">K52*((S$7*S52)+(T$7*T52)+(U$7*U52)+(V$7*V52)+(W$7*W52)+(X$7*X52)+(Y$7*Y52)+(Z$7*Z52)+(AA$7*AA52))</f>
        <v>0.33333333333333331</v>
      </c>
      <c r="H52" s="1225">
        <f t="shared" ref="H52:H53" si="62">L52*((AB$7*AB52)+(AC$7*AC52)+(AD$7*AD52))</f>
        <v>0</v>
      </c>
      <c r="I52" s="2487">
        <f>G53</f>
        <v>1</v>
      </c>
      <c r="J52" s="2487">
        <f>H53</f>
        <v>0</v>
      </c>
      <c r="K52" s="1225">
        <f>IF(スコア!M52=0,0,1)</f>
        <v>1</v>
      </c>
      <c r="L52" s="1225">
        <f>IF(スコア!O52=0,0,1)</f>
        <v>0</v>
      </c>
      <c r="M52" s="1225">
        <f t="shared" si="59"/>
        <v>0.33333333333333331</v>
      </c>
      <c r="N52" s="1225">
        <f t="shared" si="60"/>
        <v>0</v>
      </c>
      <c r="O52" s="1301"/>
      <c r="P52" s="1214">
        <f t="shared" si="40"/>
        <v>3.1</v>
      </c>
      <c r="Q52" s="1214" t="str">
        <f t="shared" si="40"/>
        <v>1.2.3</v>
      </c>
      <c r="R52" s="1214" t="str">
        <f t="shared" si="41"/>
        <v>広さと間取り</v>
      </c>
      <c r="S52" s="1287">
        <f t="shared" si="52"/>
        <v>0.33333333333333331</v>
      </c>
      <c r="T52" s="1287"/>
      <c r="U52" s="1287"/>
      <c r="V52" s="1287"/>
      <c r="W52" s="1287"/>
      <c r="X52" s="1287"/>
      <c r="Y52" s="1287"/>
      <c r="Z52" s="1289"/>
      <c r="AA52" s="1287"/>
      <c r="AB52" s="1288"/>
      <c r="AC52" s="1287"/>
      <c r="AD52" s="1287"/>
      <c r="AE52" s="1269"/>
      <c r="AF52" s="1241">
        <v>3.1</v>
      </c>
      <c r="AG52" s="1241" t="s">
        <v>558</v>
      </c>
      <c r="AH52" s="1215" t="s">
        <v>523</v>
      </c>
      <c r="AI52" s="1242">
        <f>1/3</f>
        <v>0.33333333333333331</v>
      </c>
      <c r="AJ52" s="1235"/>
      <c r="AK52" s="1235"/>
      <c r="AL52" s="1235"/>
      <c r="AM52" s="1235"/>
      <c r="AN52" s="1235"/>
      <c r="AO52" s="1235"/>
      <c r="AP52" s="1272"/>
      <c r="AQ52" s="1235"/>
      <c r="AR52" s="1235"/>
      <c r="AS52" s="1235"/>
      <c r="AT52" s="1235"/>
      <c r="AU52" s="2621"/>
      <c r="AV52" s="1241">
        <v>3.1</v>
      </c>
      <c r="AW52" s="1241" t="s">
        <v>558</v>
      </c>
      <c r="AX52" s="1215" t="s">
        <v>1864</v>
      </c>
      <c r="AY52" s="1242">
        <f>1/3</f>
        <v>0.33333333333333331</v>
      </c>
    </row>
    <row r="53" spans="1:51">
      <c r="B53" s="1217">
        <f t="shared" si="37"/>
        <v>0</v>
      </c>
      <c r="C53" s="9" t="str">
        <f t="shared" si="36"/>
        <v>広さと間取り</v>
      </c>
      <c r="D53" s="1216">
        <f>IF(I$52=0,0,G53/I$52)</f>
        <v>1</v>
      </c>
      <c r="E53" s="1216">
        <f>IF(J$52=0,0,H53/J$52)</f>
        <v>0</v>
      </c>
      <c r="F53" s="681"/>
      <c r="G53" s="1216">
        <f t="shared" si="61"/>
        <v>1</v>
      </c>
      <c r="H53" s="1225">
        <f t="shared" si="62"/>
        <v>0</v>
      </c>
      <c r="I53" s="1216"/>
      <c r="J53" s="1225"/>
      <c r="K53" s="1225">
        <f>IF(スコア!M53=0,0,1)</f>
        <v>1</v>
      </c>
      <c r="L53" s="1225">
        <f>IF(スコア!O53=0,0,1)</f>
        <v>0</v>
      </c>
      <c r="M53" s="1225">
        <f t="shared" si="59"/>
        <v>1</v>
      </c>
      <c r="N53" s="1225">
        <f t="shared" si="60"/>
        <v>0</v>
      </c>
      <c r="O53" s="1301"/>
      <c r="P53" s="1214">
        <f t="shared" si="40"/>
        <v>0</v>
      </c>
      <c r="Q53" s="1214">
        <f t="shared" si="40"/>
        <v>0</v>
      </c>
      <c r="R53" s="1214" t="str">
        <f t="shared" si="41"/>
        <v>広さと間取り</v>
      </c>
      <c r="S53" s="1287">
        <f t="shared" si="52"/>
        <v>1</v>
      </c>
      <c r="T53" s="1287"/>
      <c r="U53" s="1287"/>
      <c r="V53" s="1287"/>
      <c r="W53" s="1287"/>
      <c r="X53" s="1287"/>
      <c r="Y53" s="1287"/>
      <c r="Z53" s="1289"/>
      <c r="AA53" s="1287"/>
      <c r="AB53" s="1288"/>
      <c r="AC53" s="1287"/>
      <c r="AD53" s="1287"/>
      <c r="AE53" s="1269"/>
      <c r="AF53" s="1241"/>
      <c r="AG53" s="1241"/>
      <c r="AH53" s="1215" t="str">
        <f>AH52</f>
        <v>広さと間取り</v>
      </c>
      <c r="AI53" s="1242">
        <v>1</v>
      </c>
      <c r="AJ53" s="1235"/>
      <c r="AK53" s="1235"/>
      <c r="AL53" s="1235"/>
      <c r="AM53" s="1235"/>
      <c r="AN53" s="1235"/>
      <c r="AO53" s="1235"/>
      <c r="AP53" s="1272"/>
      <c r="AQ53" s="1235"/>
      <c r="AR53" s="1235"/>
      <c r="AS53" s="1235"/>
      <c r="AT53" s="1235"/>
      <c r="AU53" s="2621"/>
      <c r="AV53" s="1241" t="s">
        <v>1914</v>
      </c>
      <c r="AW53" s="1241" t="s">
        <v>1921</v>
      </c>
      <c r="AX53" s="1215" t="s">
        <v>1865</v>
      </c>
      <c r="AY53" s="1242">
        <v>1</v>
      </c>
    </row>
    <row r="54" spans="1:51">
      <c r="B54" s="1214">
        <f t="shared" si="37"/>
        <v>3.2</v>
      </c>
      <c r="C54" s="1215" t="str">
        <f t="shared" si="36"/>
        <v>バリアフリー対応</v>
      </c>
      <c r="D54" s="1216">
        <f>IF(I$51=0,0,G54/I$51)</f>
        <v>0.33333333333333331</v>
      </c>
      <c r="E54" s="1216">
        <f>IF(J$51=0,0,H54/J$51)</f>
        <v>0</v>
      </c>
      <c r="F54" s="681"/>
      <c r="G54" s="1225">
        <f>K54*((S$7*S54)+(T$7*T54)+(U$7*U54)+(V$7*V54)+(W$7*W54)+(X$7*X54)+(Y$7*Y54)+(Z$7*Z54)+(AA$7*AA54))</f>
        <v>0.33333333333333331</v>
      </c>
      <c r="H54" s="1225">
        <f t="shared" ref="H54" si="63">L54*((AB$7*AB54)+(AC$7*AC54)+(AD$7*AD54))</f>
        <v>0</v>
      </c>
      <c r="I54" s="2487">
        <f>SUM(G55:G56)</f>
        <v>1</v>
      </c>
      <c r="J54" s="2487">
        <f>SUM(H55:H56)</f>
        <v>0</v>
      </c>
      <c r="K54" s="1225">
        <f>IF(スコア!M54=0,0,1)</f>
        <v>1</v>
      </c>
      <c r="L54" s="1225">
        <f>IF(スコア!N54=0,0,1)</f>
        <v>1</v>
      </c>
      <c r="M54" s="1225">
        <f t="shared" ref="M54:M59" si="64">(S$7*S54)+(T$7*T54)+(U$7*U54)+(V$7*V54)+(W$7*W54)+(X$7*X54)+(Y$7*Y54)+(Z$7*Z54)+(AA$7*AA54)</f>
        <v>0.33333333333333331</v>
      </c>
      <c r="N54" s="1225">
        <f t="shared" ref="N54:N59" si="65">(AB$7*AB54)+(AC$7*AC54)+(AD$7*AD54)</f>
        <v>0</v>
      </c>
      <c r="O54" s="1301"/>
      <c r="P54" s="1214">
        <f t="shared" ref="P54:P59" si="66">IF($P$3=1,AF54,AV54)</f>
        <v>3.2</v>
      </c>
      <c r="Q54" s="1214" t="str">
        <f t="shared" ref="Q54:Q59" si="67">IF($P$3=1,AG54,AW54)</f>
        <v>1.2.3</v>
      </c>
      <c r="R54" s="1214" t="str">
        <f t="shared" si="41"/>
        <v>バリアフリー対応</v>
      </c>
      <c r="S54" s="1287">
        <f t="shared" si="52"/>
        <v>0.33333333333333331</v>
      </c>
      <c r="T54" s="1287"/>
      <c r="U54" s="1287"/>
      <c r="V54" s="1287"/>
      <c r="W54" s="1287"/>
      <c r="X54" s="1287"/>
      <c r="Y54" s="1287"/>
      <c r="Z54" s="1289"/>
      <c r="AA54" s="1287"/>
      <c r="AB54" s="1288"/>
      <c r="AC54" s="1287"/>
      <c r="AD54" s="1287"/>
      <c r="AE54" s="1269"/>
      <c r="AF54" s="1241">
        <v>3.2</v>
      </c>
      <c r="AG54" s="1241" t="s">
        <v>558</v>
      </c>
      <c r="AH54" s="1215" t="s">
        <v>524</v>
      </c>
      <c r="AI54" s="1242">
        <f>1/3</f>
        <v>0.33333333333333331</v>
      </c>
      <c r="AJ54" s="1235"/>
      <c r="AK54" s="1235"/>
      <c r="AL54" s="1235"/>
      <c r="AM54" s="1235"/>
      <c r="AN54" s="1235"/>
      <c r="AO54" s="1235"/>
      <c r="AP54" s="1272"/>
      <c r="AQ54" s="1235"/>
      <c r="AR54" s="1235"/>
      <c r="AS54" s="1235"/>
      <c r="AT54" s="1235"/>
      <c r="AU54" s="2621"/>
      <c r="AV54" s="1241" t="s">
        <v>1915</v>
      </c>
      <c r="AW54" s="1241" t="s">
        <v>558</v>
      </c>
      <c r="AX54" s="1215" t="s">
        <v>524</v>
      </c>
      <c r="AY54" s="1242">
        <f>1/3</f>
        <v>0.33333333333333331</v>
      </c>
    </row>
    <row r="55" spans="1:51">
      <c r="B55" s="1217">
        <f t="shared" si="37"/>
        <v>0</v>
      </c>
      <c r="C55" s="9" t="str">
        <f t="shared" si="36"/>
        <v>バリアフリー対応</v>
      </c>
      <c r="D55" s="2487">
        <f>IF(I$54=0,0,G55/I$54)</f>
        <v>1</v>
      </c>
      <c r="E55" s="2487">
        <f>IF(J$54=0,0,H55/J$54)</f>
        <v>0</v>
      </c>
      <c r="F55" s="681"/>
      <c r="G55" s="1216">
        <f>K55*((S$7*S55)+(T$7*T55)+(U$7*U55)+(V$7*V55)+(W$7*W55)+(X$7*X55)+(Y$7*Y55)+(Z$7*Z55)+(AA$7*AA55))</f>
        <v>1</v>
      </c>
      <c r="H55" s="1225">
        <f>L55*((AB$7*AB55)+(AC$7*AC55)+(AD$7*AD55))</f>
        <v>0</v>
      </c>
      <c r="I55" s="1216"/>
      <c r="J55" s="1220"/>
      <c r="K55" s="1225">
        <f>IF(スコア!M55=0,0,1)</f>
        <v>1</v>
      </c>
      <c r="L55" s="1225">
        <f>IF(スコア!O55=0,0,1)</f>
        <v>0</v>
      </c>
      <c r="M55" s="1225">
        <f t="shared" si="64"/>
        <v>1</v>
      </c>
      <c r="N55" s="1225">
        <f t="shared" si="65"/>
        <v>0</v>
      </c>
      <c r="O55" s="1301"/>
      <c r="P55" s="1214">
        <f t="shared" si="66"/>
        <v>0</v>
      </c>
      <c r="Q55" s="1214">
        <f t="shared" si="67"/>
        <v>0</v>
      </c>
      <c r="R55" s="1214" t="str">
        <f t="shared" si="41"/>
        <v>バリアフリー対応</v>
      </c>
      <c r="S55" s="1287">
        <f t="shared" si="52"/>
        <v>1</v>
      </c>
      <c r="T55" s="1287"/>
      <c r="U55" s="1287"/>
      <c r="V55" s="1287"/>
      <c r="W55" s="1287"/>
      <c r="X55" s="1287"/>
      <c r="Y55" s="1287"/>
      <c r="Z55" s="1289"/>
      <c r="AA55" s="1287"/>
      <c r="AB55" s="1288"/>
      <c r="AC55" s="1287"/>
      <c r="AD55" s="1287"/>
      <c r="AE55" s="1269"/>
      <c r="AF55" s="1241"/>
      <c r="AG55" s="1241"/>
      <c r="AH55" s="1215" t="str">
        <f>AH54</f>
        <v>バリアフリー対応</v>
      </c>
      <c r="AI55" s="1242">
        <v>1</v>
      </c>
      <c r="AJ55" s="1235"/>
      <c r="AK55" s="1235"/>
      <c r="AL55" s="1235"/>
      <c r="AM55" s="1235"/>
      <c r="AN55" s="1235"/>
      <c r="AO55" s="1235"/>
      <c r="AP55" s="1272"/>
      <c r="AQ55" s="1235"/>
      <c r="AR55" s="1235"/>
      <c r="AS55" s="1235"/>
      <c r="AT55" s="1235"/>
      <c r="AU55" s="2621"/>
      <c r="AV55" s="1241" t="s">
        <v>1916</v>
      </c>
      <c r="AW55" s="1241" t="s">
        <v>1922</v>
      </c>
      <c r="AX55" s="1215" t="s">
        <v>1866</v>
      </c>
      <c r="AY55" s="1242">
        <v>0.5</v>
      </c>
    </row>
    <row r="56" spans="1:51" hidden="1">
      <c r="B56" s="1217">
        <f t="shared" si="37"/>
        <v>0</v>
      </c>
      <c r="C56" s="9">
        <f t="shared" si="36"/>
        <v>0</v>
      </c>
      <c r="D56" s="2487">
        <f>IF(I$54=0,0,G56/I$54)</f>
        <v>0</v>
      </c>
      <c r="E56" s="2487">
        <f>IF(J$54=0,0,H56/J$54)</f>
        <v>0</v>
      </c>
      <c r="F56" s="681"/>
      <c r="G56" s="1216">
        <f t="shared" ref="G56" si="68">K56*((S$7*S56)+(T$7*T56)+(U$7*U56)+(V$7*V56)+(W$7*W56)+(X$7*X56)+(Y$7*Y56)+(Z$7*Z56)+(AA$7*AA56))</f>
        <v>0</v>
      </c>
      <c r="H56" s="1225">
        <f t="shared" ref="H56:H57" si="69">L56*((AB$7*AB56)+(AC$7*AC56)+(AD$7*AD56))</f>
        <v>0</v>
      </c>
      <c r="I56" s="1216"/>
      <c r="J56" s="1225"/>
      <c r="K56" s="1225">
        <f>IF(スコア!M56=0,0,1)</f>
        <v>1</v>
      </c>
      <c r="L56" s="1225">
        <f>IF(スコア!O56=0,0,1)</f>
        <v>0</v>
      </c>
      <c r="M56" s="1225">
        <f t="shared" si="64"/>
        <v>0</v>
      </c>
      <c r="N56" s="1225">
        <f t="shared" si="65"/>
        <v>0</v>
      </c>
      <c r="O56" s="1301"/>
      <c r="P56" s="1214">
        <f t="shared" si="66"/>
        <v>0</v>
      </c>
      <c r="Q56" s="1214">
        <f t="shared" si="67"/>
        <v>0</v>
      </c>
      <c r="R56" s="1214">
        <f t="shared" si="41"/>
        <v>0</v>
      </c>
      <c r="S56" s="1287">
        <f t="shared" si="52"/>
        <v>0</v>
      </c>
      <c r="T56" s="1287"/>
      <c r="U56" s="1287"/>
      <c r="V56" s="1287"/>
      <c r="W56" s="1287"/>
      <c r="X56" s="1287"/>
      <c r="Y56" s="1287"/>
      <c r="Z56" s="1289"/>
      <c r="AA56" s="1287"/>
      <c r="AB56" s="1288"/>
      <c r="AC56" s="1287"/>
      <c r="AD56" s="1287"/>
      <c r="AE56" s="1269"/>
      <c r="AF56" s="1241"/>
      <c r="AG56" s="1241"/>
      <c r="AH56" s="1215"/>
      <c r="AI56" s="1242"/>
      <c r="AJ56" s="1235"/>
      <c r="AK56" s="1235"/>
      <c r="AL56" s="1235"/>
      <c r="AM56" s="1235"/>
      <c r="AN56" s="1235"/>
      <c r="AO56" s="1235"/>
      <c r="AP56" s="1272"/>
      <c r="AQ56" s="1235"/>
      <c r="AR56" s="1235"/>
      <c r="AS56" s="1235"/>
      <c r="AT56" s="1235"/>
      <c r="AU56" s="2621"/>
      <c r="AV56" s="1241" t="s">
        <v>1917</v>
      </c>
      <c r="AW56" s="1241" t="s">
        <v>1922</v>
      </c>
      <c r="AX56" s="1215" t="s">
        <v>1867</v>
      </c>
      <c r="AY56" s="1242">
        <v>0.5</v>
      </c>
    </row>
    <row r="57" spans="1:51" s="2133" customFormat="1">
      <c r="A57"/>
      <c r="B57" s="1214" t="str">
        <f t="shared" si="37"/>
        <v>3.3</v>
      </c>
      <c r="C57" s="1215" t="str">
        <f t="shared" si="36"/>
        <v>犯罪に備える</v>
      </c>
      <c r="D57" s="1216">
        <f>IF(I$51=0,0,G57/I$51)</f>
        <v>0.33333333333333331</v>
      </c>
      <c r="E57" s="1216">
        <f>IF(J$51=0,0,H57/J$51)</f>
        <v>0</v>
      </c>
      <c r="F57" s="681"/>
      <c r="G57" s="1225">
        <f>K57*((S$7*S57)+(T$7*T57)+(U$7*U57)+(V$7*V57)+(W$7*W57)+(X$7*X57)+(Y$7*Y57)+(Z$7*Z57)+(AA$7*AA57))</f>
        <v>0.33333333333333331</v>
      </c>
      <c r="H57" s="1225">
        <f t="shared" si="69"/>
        <v>0</v>
      </c>
      <c r="I57" s="2487">
        <f>SUM(G58:G59)</f>
        <v>1</v>
      </c>
      <c r="J57" s="2487">
        <f>SUM(H58:H59)</f>
        <v>0</v>
      </c>
      <c r="K57" s="1225">
        <f>IF(スコア!M57=0,0,1)</f>
        <v>1</v>
      </c>
      <c r="L57" s="1225">
        <f>IF(スコア!N57=0,0,1)</f>
        <v>1</v>
      </c>
      <c r="M57" s="1225">
        <f t="shared" si="64"/>
        <v>0.33333333333333331</v>
      </c>
      <c r="N57" s="1225">
        <f t="shared" si="65"/>
        <v>0</v>
      </c>
      <c r="O57" s="1262"/>
      <c r="P57" s="1214" t="str">
        <f t="shared" si="66"/>
        <v>3.3</v>
      </c>
      <c r="Q57" s="1214" t="str">
        <f t="shared" si="67"/>
        <v>1.2.3</v>
      </c>
      <c r="R57" s="1214" t="str">
        <f t="shared" si="41"/>
        <v>犯罪に備える</v>
      </c>
      <c r="S57" s="1287">
        <f t="shared" si="52"/>
        <v>0.33333333333333331</v>
      </c>
      <c r="T57" s="2144"/>
      <c r="U57" s="2144"/>
      <c r="V57" s="2144"/>
      <c r="W57" s="2144"/>
      <c r="X57" s="2144"/>
      <c r="Y57" s="2144"/>
      <c r="Z57" s="2145"/>
      <c r="AA57" s="2144"/>
      <c r="AB57" s="2146"/>
      <c r="AC57" s="2144"/>
      <c r="AD57" s="2144"/>
      <c r="AE57" s="2147"/>
      <c r="AF57" s="1241" t="s">
        <v>1243</v>
      </c>
      <c r="AG57" s="1241" t="s">
        <v>1923</v>
      </c>
      <c r="AH57" s="1215" t="s">
        <v>510</v>
      </c>
      <c r="AI57" s="1242">
        <f>1/3</f>
        <v>0.33333333333333331</v>
      </c>
      <c r="AJ57" s="1235"/>
      <c r="AK57" s="1235"/>
      <c r="AL57" s="1235"/>
      <c r="AM57" s="1235"/>
      <c r="AN57" s="1235"/>
      <c r="AO57" s="1235"/>
      <c r="AP57" s="1272"/>
      <c r="AQ57" s="1235"/>
      <c r="AR57" s="1235"/>
      <c r="AS57" s="1235"/>
      <c r="AT57" s="1235"/>
      <c r="AU57" s="2621"/>
      <c r="AV57" s="1241" t="s">
        <v>1243</v>
      </c>
      <c r="AW57" s="1241" t="s">
        <v>1923</v>
      </c>
      <c r="AX57" s="1215" t="s">
        <v>510</v>
      </c>
      <c r="AY57" s="1242">
        <f>1/3</f>
        <v>0.33333333333333331</v>
      </c>
    </row>
    <row r="58" spans="1:51" s="2133" customFormat="1">
      <c r="A58"/>
      <c r="B58" s="1217">
        <f t="shared" si="37"/>
        <v>0</v>
      </c>
      <c r="C58" s="9" t="str">
        <f t="shared" si="36"/>
        <v>犯罪に備える</v>
      </c>
      <c r="D58" s="2487">
        <f>IF(I$57=0,0,G58/I$57)</f>
        <v>1</v>
      </c>
      <c r="E58" s="2487">
        <f>IF(J$57=0,0,H58/J$57)</f>
        <v>0</v>
      </c>
      <c r="F58" s="681"/>
      <c r="G58" s="1216">
        <f>K58*((S$7*S58)+(T$7*T58)+(U$7*U58)+(V$7*V58)+(W$7*W58)+(X$7*X58)+(Y$7*Y58)+(Z$7*Z58)+(AA$7*AA58))</f>
        <v>1</v>
      </c>
      <c r="H58" s="1225">
        <f>L58*((AB$7*AB58)+(AC$7*AC58)+(AD$7*AD58))</f>
        <v>0</v>
      </c>
      <c r="I58" s="1216"/>
      <c r="J58" s="1220"/>
      <c r="K58" s="1225">
        <f>IF(スコア!M58=0,0,1)</f>
        <v>1</v>
      </c>
      <c r="L58" s="1225">
        <f>IF(スコア!O58=0,0,1)</f>
        <v>0</v>
      </c>
      <c r="M58" s="1225">
        <f t="shared" si="64"/>
        <v>1</v>
      </c>
      <c r="N58" s="1225">
        <f t="shared" si="65"/>
        <v>0</v>
      </c>
      <c r="O58" s="1262"/>
      <c r="P58" s="1214">
        <f t="shared" si="66"/>
        <v>0</v>
      </c>
      <c r="Q58" s="1214">
        <f t="shared" si="67"/>
        <v>0</v>
      </c>
      <c r="R58" s="1214" t="str">
        <f t="shared" si="41"/>
        <v>犯罪に備える</v>
      </c>
      <c r="S58" s="1287">
        <f t="shared" si="52"/>
        <v>1</v>
      </c>
      <c r="T58" s="2144"/>
      <c r="U58" s="2144"/>
      <c r="V58" s="2144"/>
      <c r="W58" s="2144"/>
      <c r="X58" s="2144"/>
      <c r="Y58" s="2144"/>
      <c r="Z58" s="2145"/>
      <c r="AA58" s="2144"/>
      <c r="AB58" s="2146"/>
      <c r="AC58" s="2144"/>
      <c r="AD58" s="2144"/>
      <c r="AE58" s="2147"/>
      <c r="AF58" s="1241"/>
      <c r="AG58" s="1241"/>
      <c r="AH58" s="1215" t="str">
        <f>AH57</f>
        <v>犯罪に備える</v>
      </c>
      <c r="AI58" s="1242">
        <v>1</v>
      </c>
      <c r="AJ58" s="1235"/>
      <c r="AK58" s="1235"/>
      <c r="AL58" s="1235"/>
      <c r="AM58" s="1235"/>
      <c r="AN58" s="1235"/>
      <c r="AO58" s="1235"/>
      <c r="AP58" s="1272"/>
      <c r="AQ58" s="1235"/>
      <c r="AR58" s="1235"/>
      <c r="AS58" s="1235"/>
      <c r="AT58" s="1235"/>
      <c r="AU58" s="2621"/>
      <c r="AV58" s="1241" t="s">
        <v>1918</v>
      </c>
      <c r="AW58" s="1241" t="s">
        <v>1924</v>
      </c>
      <c r="AX58" s="1215" t="s">
        <v>1868</v>
      </c>
      <c r="AY58" s="1242">
        <v>0.5</v>
      </c>
    </row>
    <row r="59" spans="1:51" s="2133" customFormat="1" hidden="1">
      <c r="A59"/>
      <c r="B59" s="1217">
        <f t="shared" si="37"/>
        <v>0</v>
      </c>
      <c r="C59" s="9">
        <f t="shared" si="36"/>
        <v>0</v>
      </c>
      <c r="D59" s="2487">
        <f>IF(I$57=0,0,G59/I$57)</f>
        <v>0</v>
      </c>
      <c r="E59" s="2487">
        <f>IF(J$57=0,0,H59/J$57)</f>
        <v>0</v>
      </c>
      <c r="F59" s="681"/>
      <c r="G59" s="1216">
        <f t="shared" ref="G59" si="70">K59*((S$7*S59)+(T$7*T59)+(U$7*U59)+(V$7*V59)+(W$7*W59)+(X$7*X59)+(Y$7*Y59)+(Z$7*Z59)+(AA$7*AA59))</f>
        <v>0</v>
      </c>
      <c r="H59" s="1225">
        <f t="shared" ref="H59" si="71">L59*((AB$7*AB59)+(AC$7*AC59)+(AD$7*AD59))</f>
        <v>0</v>
      </c>
      <c r="I59" s="1216"/>
      <c r="J59" s="1225"/>
      <c r="K59" s="1225">
        <f>IF(スコア!M59=0,0,1)</f>
        <v>1</v>
      </c>
      <c r="L59" s="1225">
        <f>IF(スコア!O59=0,0,1)</f>
        <v>0</v>
      </c>
      <c r="M59" s="1225">
        <f t="shared" si="64"/>
        <v>0</v>
      </c>
      <c r="N59" s="1225">
        <f t="shared" si="65"/>
        <v>0</v>
      </c>
      <c r="O59" s="1262"/>
      <c r="P59" s="1214">
        <f t="shared" si="66"/>
        <v>0</v>
      </c>
      <c r="Q59" s="1214">
        <f t="shared" si="67"/>
        <v>0</v>
      </c>
      <c r="R59" s="1214">
        <f t="shared" si="41"/>
        <v>0</v>
      </c>
      <c r="S59" s="1287">
        <f t="shared" si="52"/>
        <v>0</v>
      </c>
      <c r="T59" s="2144"/>
      <c r="U59" s="2144"/>
      <c r="V59" s="2144"/>
      <c r="W59" s="2144"/>
      <c r="X59" s="2144"/>
      <c r="Y59" s="2144"/>
      <c r="Z59" s="2145"/>
      <c r="AA59" s="2144"/>
      <c r="AB59" s="2146"/>
      <c r="AC59" s="2144"/>
      <c r="AD59" s="2144"/>
      <c r="AE59" s="2147"/>
      <c r="AF59" s="1241"/>
      <c r="AG59" s="1241"/>
      <c r="AH59" s="1215"/>
      <c r="AI59" s="1242"/>
      <c r="AJ59" s="1235"/>
      <c r="AK59" s="1235"/>
      <c r="AL59" s="1235"/>
      <c r="AM59" s="1235"/>
      <c r="AN59" s="1235"/>
      <c r="AO59" s="1235"/>
      <c r="AP59" s="1272"/>
      <c r="AQ59" s="1235"/>
      <c r="AR59" s="1235"/>
      <c r="AS59" s="1235"/>
      <c r="AT59" s="1235"/>
      <c r="AU59" s="2621"/>
      <c r="AV59" s="1241" t="s">
        <v>1919</v>
      </c>
      <c r="AW59" s="1241" t="s">
        <v>1924</v>
      </c>
      <c r="AX59" s="1215" t="s">
        <v>1869</v>
      </c>
      <c r="AY59" s="1242">
        <v>0.5</v>
      </c>
    </row>
    <row r="60" spans="1:51" ht="15.6">
      <c r="B60" s="1208" t="s">
        <v>449</v>
      </c>
      <c r="C60" s="1209" t="str">
        <f t="shared" ref="C60:C78" si="72">R60</f>
        <v>まちなみ・生態系を豊かにする</v>
      </c>
      <c r="D60" s="1210">
        <f>IF(I$8=0,0,G60/I$8)</f>
        <v>0.25</v>
      </c>
      <c r="E60" s="1210">
        <f>IF(J$8=0,0,H60/J$8)</f>
        <v>0</v>
      </c>
      <c r="F60" s="1296"/>
      <c r="G60" s="1224">
        <f t="shared" si="2"/>
        <v>0.25</v>
      </c>
      <c r="H60" s="1224">
        <f t="shared" si="8"/>
        <v>0</v>
      </c>
      <c r="I60" s="1224">
        <f>G61+G62+G65+G66</f>
        <v>1</v>
      </c>
      <c r="J60" s="1224">
        <f>H61+H62+H65</f>
        <v>0</v>
      </c>
      <c r="K60" s="1224">
        <f>IF(スコア!Q60=0,0,1)</f>
        <v>1</v>
      </c>
      <c r="L60" s="1224">
        <f>IF(スコア!R60=0,0,1)</f>
        <v>0</v>
      </c>
      <c r="M60" s="1224">
        <f t="shared" si="59"/>
        <v>0.25</v>
      </c>
      <c r="N60" s="1224">
        <f t="shared" si="60"/>
        <v>0</v>
      </c>
      <c r="O60" s="1302"/>
      <c r="P60" s="1281" t="str">
        <f t="shared" ref="P60:S61" si="73">IF($P$3=1,AF60,AV60)</f>
        <v>QH3</v>
      </c>
      <c r="Q60" s="1281" t="str">
        <f t="shared" ref="Q60:Q74" si="74">IF($P$3=1,AG60,AW60)</f>
        <v>1</v>
      </c>
      <c r="R60" s="1281" t="str">
        <f t="shared" si="73"/>
        <v>まちなみ・生態系を豊かにする</v>
      </c>
      <c r="S60" s="1282">
        <f t="shared" si="73"/>
        <v>0.25</v>
      </c>
      <c r="T60" s="1282"/>
      <c r="U60" s="1282"/>
      <c r="V60" s="1282"/>
      <c r="W60" s="1282"/>
      <c r="X60" s="1282"/>
      <c r="Y60" s="1282"/>
      <c r="Z60" s="1282"/>
      <c r="AA60" s="1282"/>
      <c r="AB60" s="1283"/>
      <c r="AC60" s="1282"/>
      <c r="AD60" s="1282"/>
      <c r="AE60" s="1292"/>
      <c r="AF60" s="1208" t="s">
        <v>449</v>
      </c>
      <c r="AG60" s="1208" t="s">
        <v>547</v>
      </c>
      <c r="AH60" s="1209" t="s">
        <v>525</v>
      </c>
      <c r="AI60" s="1238">
        <v>0.25</v>
      </c>
      <c r="AJ60" s="1293"/>
      <c r="AK60" s="1293"/>
      <c r="AL60" s="1293"/>
      <c r="AM60" s="1293"/>
      <c r="AN60" s="1293"/>
      <c r="AO60" s="1293"/>
      <c r="AP60" s="1294"/>
      <c r="AQ60" s="1293"/>
      <c r="AR60" s="1293"/>
      <c r="AS60" s="1293"/>
      <c r="AT60" s="1293"/>
      <c r="AU60" s="1295"/>
      <c r="AV60" s="1208" t="s">
        <v>449</v>
      </c>
      <c r="AW60" s="1208" t="s">
        <v>547</v>
      </c>
      <c r="AX60" s="1209" t="s">
        <v>525</v>
      </c>
      <c r="AY60" s="1238">
        <v>0.25</v>
      </c>
    </row>
    <row r="61" spans="1:51">
      <c r="B61" s="1211">
        <f t="shared" ref="B61:B66" si="75">P61</f>
        <v>1</v>
      </c>
      <c r="C61" s="1212" t="str">
        <f t="shared" si="72"/>
        <v>まちなみ・景観への配慮</v>
      </c>
      <c r="D61" s="1213">
        <f>IF(I$60=0,0,G61/I$60)</f>
        <v>0.3</v>
      </c>
      <c r="E61" s="1213">
        <f>IF(J$60=0,0,H61/J$60)</f>
        <v>0</v>
      </c>
      <c r="F61" s="1279"/>
      <c r="G61" s="1218">
        <f t="shared" si="2"/>
        <v>0.3</v>
      </c>
      <c r="H61" s="1218">
        <f t="shared" si="8"/>
        <v>0</v>
      </c>
      <c r="I61" s="1218"/>
      <c r="J61" s="1218"/>
      <c r="K61" s="1218">
        <f>IF(スコア!M61=0,0,1)</f>
        <v>1</v>
      </c>
      <c r="L61" s="1218">
        <f>IF(スコア!N61=0,0,1)</f>
        <v>1</v>
      </c>
      <c r="M61" s="1218">
        <f t="shared" si="59"/>
        <v>0.3</v>
      </c>
      <c r="N61" s="1218">
        <f t="shared" si="60"/>
        <v>0</v>
      </c>
      <c r="O61" s="1303"/>
      <c r="P61" s="1211">
        <f t="shared" si="73"/>
        <v>1</v>
      </c>
      <c r="Q61" s="1304" t="str">
        <f t="shared" si="74"/>
        <v>1.3</v>
      </c>
      <c r="R61" s="1211" t="str">
        <f t="shared" ref="R61:R67" si="76">IF($P$3=1,AH61,AX61)</f>
        <v>まちなみ・景観への配慮</v>
      </c>
      <c r="S61" s="1284">
        <f t="shared" si="73"/>
        <v>0.3</v>
      </c>
      <c r="T61" s="1284"/>
      <c r="U61" s="1284"/>
      <c r="V61" s="1284"/>
      <c r="W61" s="1284"/>
      <c r="X61" s="1284"/>
      <c r="Y61" s="1284"/>
      <c r="Z61" s="1300"/>
      <c r="AA61" s="1284"/>
      <c r="AB61" s="1286"/>
      <c r="AC61" s="1284"/>
      <c r="AD61" s="1284"/>
      <c r="AE61" s="1269"/>
      <c r="AF61" s="1239">
        <v>1</v>
      </c>
      <c r="AG61" s="1239" t="s">
        <v>51</v>
      </c>
      <c r="AH61" s="1212" t="s">
        <v>350</v>
      </c>
      <c r="AI61" s="1244">
        <v>0.3</v>
      </c>
      <c r="AJ61" s="1235"/>
      <c r="AK61" s="1235"/>
      <c r="AL61" s="1235"/>
      <c r="AM61" s="1235"/>
      <c r="AN61" s="1235"/>
      <c r="AO61" s="1235"/>
      <c r="AP61" s="1272"/>
      <c r="AQ61" s="1235"/>
      <c r="AR61" s="1235"/>
      <c r="AS61" s="1235"/>
      <c r="AT61" s="1235"/>
      <c r="AU61" s="2621"/>
      <c r="AV61" s="1239">
        <v>1</v>
      </c>
      <c r="AW61" s="1239" t="s">
        <v>51</v>
      </c>
      <c r="AX61" s="1212" t="s">
        <v>350</v>
      </c>
      <c r="AY61" s="1244">
        <v>0.3</v>
      </c>
    </row>
    <row r="62" spans="1:51">
      <c r="B62" s="1211">
        <f t="shared" si="75"/>
        <v>2</v>
      </c>
      <c r="C62" s="1212" t="str">
        <f t="shared" si="72"/>
        <v>生物環境の創出</v>
      </c>
      <c r="D62" s="1213">
        <f>IF(I$60=0,0,G62/I$60)</f>
        <v>0.3</v>
      </c>
      <c r="E62" s="1213">
        <f>IF(J$60=0,0,H62/J$60)</f>
        <v>0</v>
      </c>
      <c r="F62" s="1279"/>
      <c r="G62" s="1218">
        <f t="shared" si="2"/>
        <v>0.3</v>
      </c>
      <c r="H62" s="1218">
        <f t="shared" si="8"/>
        <v>0</v>
      </c>
      <c r="I62" s="1305">
        <f>SUM(G63:G64)</f>
        <v>1</v>
      </c>
      <c r="J62" s="1305">
        <f>SUM(H63:H64)</f>
        <v>0</v>
      </c>
      <c r="K62" s="1218">
        <f>IF(スコア!M62=0,0,1)</f>
        <v>1</v>
      </c>
      <c r="L62" s="1218">
        <f>IF(スコア!N62=0,0,1)</f>
        <v>1</v>
      </c>
      <c r="M62" s="1218">
        <f t="shared" si="59"/>
        <v>0.3</v>
      </c>
      <c r="N62" s="1218">
        <f t="shared" si="60"/>
        <v>0</v>
      </c>
      <c r="O62" s="1303"/>
      <c r="P62" s="1211">
        <f t="shared" ref="P62:P67" si="77">IF($P$3=1,AF62,AV62)</f>
        <v>2</v>
      </c>
      <c r="Q62" s="1211" t="str">
        <f t="shared" si="74"/>
        <v>1.3</v>
      </c>
      <c r="R62" s="1211" t="str">
        <f t="shared" si="76"/>
        <v>生物環境の創出</v>
      </c>
      <c r="S62" s="1284">
        <f t="shared" ref="S62:S71" si="78">IF($P$3=1,AI62,AY62)</f>
        <v>0.3</v>
      </c>
      <c r="T62" s="1284"/>
      <c r="U62" s="1284"/>
      <c r="V62" s="1284"/>
      <c r="W62" s="1284"/>
      <c r="X62" s="1284"/>
      <c r="Y62" s="1284"/>
      <c r="Z62" s="1300"/>
      <c r="AA62" s="1284"/>
      <c r="AB62" s="1286"/>
      <c r="AC62" s="1284"/>
      <c r="AD62" s="1284"/>
      <c r="AE62" s="1269"/>
      <c r="AF62" s="1239">
        <v>2</v>
      </c>
      <c r="AG62" s="1239" t="s">
        <v>51</v>
      </c>
      <c r="AH62" s="1212" t="s">
        <v>358</v>
      </c>
      <c r="AI62" s="1244">
        <v>0.3</v>
      </c>
      <c r="AJ62" s="1235"/>
      <c r="AK62" s="1235"/>
      <c r="AL62" s="1235"/>
      <c r="AM62" s="1235"/>
      <c r="AN62" s="1235"/>
      <c r="AO62" s="1235"/>
      <c r="AP62" s="1272"/>
      <c r="AQ62" s="1235"/>
      <c r="AR62" s="1235"/>
      <c r="AS62" s="1235"/>
      <c r="AT62" s="1235"/>
      <c r="AU62" s="2621"/>
      <c r="AV62" s="1239">
        <v>2</v>
      </c>
      <c r="AW62" s="1239" t="s">
        <v>51</v>
      </c>
      <c r="AX62" s="1212" t="s">
        <v>450</v>
      </c>
      <c r="AY62" s="1244">
        <v>0.3</v>
      </c>
    </row>
    <row r="63" spans="1:51">
      <c r="B63" s="1214">
        <f t="shared" si="75"/>
        <v>2.1</v>
      </c>
      <c r="C63" s="1215" t="str">
        <f t="shared" si="72"/>
        <v>敷地内の緑化</v>
      </c>
      <c r="D63" s="1216">
        <f>IF(I$62=0,0,G63/I$62)</f>
        <v>0.65</v>
      </c>
      <c r="E63" s="1216">
        <f>IF(J$62=0,0,H63/J$62)</f>
        <v>0</v>
      </c>
      <c r="F63" s="681"/>
      <c r="G63" s="1225">
        <f t="shared" si="2"/>
        <v>0.65</v>
      </c>
      <c r="H63" s="1225">
        <f t="shared" si="8"/>
        <v>0</v>
      </c>
      <c r="I63" s="1225"/>
      <c r="J63" s="1225"/>
      <c r="K63" s="1225">
        <f>IF(スコア!M63=0,0,1)</f>
        <v>1</v>
      </c>
      <c r="L63" s="1225">
        <f>IF(スコア!N63=0,0,1)</f>
        <v>1</v>
      </c>
      <c r="M63" s="1225">
        <f t="shared" si="59"/>
        <v>0.65</v>
      </c>
      <c r="N63" s="1225">
        <f t="shared" si="60"/>
        <v>0</v>
      </c>
      <c r="O63" s="1306"/>
      <c r="P63" s="1214">
        <f t="shared" si="77"/>
        <v>2.1</v>
      </c>
      <c r="Q63" s="1214" t="str">
        <f t="shared" si="74"/>
        <v>1.3.2</v>
      </c>
      <c r="R63" s="1214" t="str">
        <f t="shared" si="76"/>
        <v>敷地内の緑化</v>
      </c>
      <c r="S63" s="1307">
        <f t="shared" si="78"/>
        <v>0.65</v>
      </c>
      <c r="T63" s="1307"/>
      <c r="U63" s="1307"/>
      <c r="V63" s="1307"/>
      <c r="W63" s="1307"/>
      <c r="X63" s="1307"/>
      <c r="Y63" s="1307"/>
      <c r="Z63" s="1308"/>
      <c r="AA63" s="1307"/>
      <c r="AB63" s="1309"/>
      <c r="AC63" s="1307"/>
      <c r="AD63" s="1307"/>
      <c r="AE63" s="1269"/>
      <c r="AF63" s="1241">
        <v>2.1</v>
      </c>
      <c r="AG63" s="1241" t="s">
        <v>52</v>
      </c>
      <c r="AH63" s="1215" t="s">
        <v>527</v>
      </c>
      <c r="AI63" s="1242">
        <v>0.65</v>
      </c>
      <c r="AJ63" s="1235"/>
      <c r="AK63" s="1235"/>
      <c r="AL63" s="1235"/>
      <c r="AM63" s="1235"/>
      <c r="AN63" s="1235"/>
      <c r="AO63" s="1235"/>
      <c r="AP63" s="1272"/>
      <c r="AQ63" s="1235"/>
      <c r="AR63" s="1235"/>
      <c r="AS63" s="1235"/>
      <c r="AT63" s="1235"/>
      <c r="AU63" s="2621"/>
      <c r="AV63" s="1241">
        <v>2.1</v>
      </c>
      <c r="AW63" s="1241" t="s">
        <v>52</v>
      </c>
      <c r="AX63" s="1215" t="s">
        <v>527</v>
      </c>
      <c r="AY63" s="1242">
        <v>0.65</v>
      </c>
    </row>
    <row r="64" spans="1:51">
      <c r="B64" s="1214">
        <f t="shared" si="75"/>
        <v>2.2000000000000002</v>
      </c>
      <c r="C64" s="1215" t="str">
        <f t="shared" si="72"/>
        <v>生物の生息環境の確保</v>
      </c>
      <c r="D64" s="1216">
        <f>IF(I$62=0,0,G64/I$62)</f>
        <v>0.35</v>
      </c>
      <c r="E64" s="1216">
        <f>IF(J$62=0,0,H64/J$62)</f>
        <v>0</v>
      </c>
      <c r="F64" s="681"/>
      <c r="G64" s="1225">
        <f t="shared" si="2"/>
        <v>0.35</v>
      </c>
      <c r="H64" s="1225">
        <f t="shared" si="8"/>
        <v>0</v>
      </c>
      <c r="I64" s="1225"/>
      <c r="J64" s="1225"/>
      <c r="K64" s="1225">
        <f>IF(スコア!M64=0,0,1)</f>
        <v>1</v>
      </c>
      <c r="L64" s="1225">
        <f>IF(スコア!N64=0,0,1)</f>
        <v>1</v>
      </c>
      <c r="M64" s="1225">
        <f t="shared" si="59"/>
        <v>0.35</v>
      </c>
      <c r="N64" s="1225">
        <f t="shared" si="60"/>
        <v>0</v>
      </c>
      <c r="O64" s="1306"/>
      <c r="P64" s="1214">
        <f t="shared" si="77"/>
        <v>2.2000000000000002</v>
      </c>
      <c r="Q64" s="1214" t="str">
        <f t="shared" si="74"/>
        <v>1.3.2</v>
      </c>
      <c r="R64" s="1214" t="str">
        <f t="shared" si="76"/>
        <v>生物の生息環境の確保</v>
      </c>
      <c r="S64" s="1307">
        <f t="shared" si="78"/>
        <v>0.35</v>
      </c>
      <c r="T64" s="1307"/>
      <c r="U64" s="1307"/>
      <c r="V64" s="1307"/>
      <c r="W64" s="1307"/>
      <c r="X64" s="1307"/>
      <c r="Y64" s="1307"/>
      <c r="Z64" s="1308"/>
      <c r="AA64" s="1307"/>
      <c r="AB64" s="1309"/>
      <c r="AC64" s="1307"/>
      <c r="AD64" s="1307"/>
      <c r="AE64" s="1269"/>
      <c r="AF64" s="1241">
        <v>2.2000000000000002</v>
      </c>
      <c r="AG64" s="1241" t="s">
        <v>52</v>
      </c>
      <c r="AH64" s="1215" t="s">
        <v>528</v>
      </c>
      <c r="AI64" s="1242">
        <v>0.35</v>
      </c>
      <c r="AJ64" s="1235"/>
      <c r="AK64" s="1235"/>
      <c r="AL64" s="1235"/>
      <c r="AM64" s="1235"/>
      <c r="AN64" s="1235"/>
      <c r="AO64" s="1235"/>
      <c r="AP64" s="1272"/>
      <c r="AQ64" s="1235"/>
      <c r="AR64" s="1235"/>
      <c r="AS64" s="1235"/>
      <c r="AT64" s="1235"/>
      <c r="AU64" s="2621"/>
      <c r="AV64" s="1241">
        <v>2.2000000000000002</v>
      </c>
      <c r="AW64" s="1241" t="s">
        <v>52</v>
      </c>
      <c r="AX64" s="1215" t="s">
        <v>528</v>
      </c>
      <c r="AY64" s="1242">
        <v>0.35</v>
      </c>
    </row>
    <row r="65" spans="1:51">
      <c r="B65" s="1211">
        <f t="shared" si="75"/>
        <v>3</v>
      </c>
      <c r="C65" s="1212" t="str">
        <f t="shared" si="72"/>
        <v>地域の安全・安心</v>
      </c>
      <c r="D65" s="1213">
        <f>IF(I$60=0,0,G65/I$60)</f>
        <v>0.2</v>
      </c>
      <c r="E65" s="1213">
        <f>IF(J$60=0,0,H65/J$60)</f>
        <v>0</v>
      </c>
      <c r="F65" s="1279"/>
      <c r="G65" s="1218">
        <f t="shared" si="2"/>
        <v>0.2</v>
      </c>
      <c r="H65" s="1218">
        <f t="shared" si="8"/>
        <v>0</v>
      </c>
      <c r="I65" s="1305"/>
      <c r="J65" s="1305"/>
      <c r="K65" s="1218">
        <f>IF(スコア!M65=0,0,1)</f>
        <v>1</v>
      </c>
      <c r="L65" s="1218">
        <f>IF(スコア!N65=0,0,1)</f>
        <v>1</v>
      </c>
      <c r="M65" s="1218">
        <f t="shared" si="59"/>
        <v>0.2</v>
      </c>
      <c r="N65" s="1218">
        <f t="shared" si="60"/>
        <v>0</v>
      </c>
      <c r="O65" s="1303"/>
      <c r="P65" s="1211">
        <f t="shared" si="77"/>
        <v>3</v>
      </c>
      <c r="Q65" s="1211" t="str">
        <f t="shared" si="74"/>
        <v>1.3</v>
      </c>
      <c r="R65" s="1211" t="str">
        <f t="shared" si="76"/>
        <v>地域の安全・安心</v>
      </c>
      <c r="S65" s="1284">
        <f t="shared" si="78"/>
        <v>0.2</v>
      </c>
      <c r="T65" s="1284"/>
      <c r="U65" s="1284"/>
      <c r="V65" s="1284"/>
      <c r="W65" s="1284"/>
      <c r="X65" s="1284"/>
      <c r="Y65" s="1284"/>
      <c r="Z65" s="1300"/>
      <c r="AA65" s="1284"/>
      <c r="AB65" s="1286"/>
      <c r="AC65" s="1284"/>
      <c r="AD65" s="1284"/>
      <c r="AE65" s="1269"/>
      <c r="AF65" s="1239">
        <v>3</v>
      </c>
      <c r="AG65" s="1239" t="s">
        <v>51</v>
      </c>
      <c r="AH65" s="1212" t="s">
        <v>526</v>
      </c>
      <c r="AI65" s="1244">
        <v>0.2</v>
      </c>
      <c r="AJ65" s="1235"/>
      <c r="AK65" s="1235"/>
      <c r="AL65" s="1235"/>
      <c r="AM65" s="1235"/>
      <c r="AN65" s="1235"/>
      <c r="AO65" s="1235"/>
      <c r="AP65" s="1272"/>
      <c r="AQ65" s="1235"/>
      <c r="AR65" s="1235"/>
      <c r="AS65" s="1235"/>
      <c r="AT65" s="1235"/>
      <c r="AU65" s="2621"/>
      <c r="AV65" s="1239">
        <v>3</v>
      </c>
      <c r="AW65" s="1239" t="s">
        <v>51</v>
      </c>
      <c r="AX65" s="1212" t="s">
        <v>526</v>
      </c>
      <c r="AY65" s="1244">
        <v>0.2</v>
      </c>
    </row>
    <row r="66" spans="1:51">
      <c r="B66" s="1211">
        <f t="shared" si="75"/>
        <v>4</v>
      </c>
      <c r="C66" s="1212" t="str">
        <f t="shared" si="72"/>
        <v>地域の資源の活用と住文化の継承</v>
      </c>
      <c r="D66" s="1213">
        <f>IF(I$60=0,0,G66/I$60)</f>
        <v>0.2</v>
      </c>
      <c r="E66" s="1213">
        <f>IF(J$60=0,0,H66/J$60)</f>
        <v>0</v>
      </c>
      <c r="F66" s="1279"/>
      <c r="G66" s="1218">
        <f t="shared" si="2"/>
        <v>0.2</v>
      </c>
      <c r="H66" s="1218">
        <f t="shared" si="8"/>
        <v>0</v>
      </c>
      <c r="I66" s="1218"/>
      <c r="J66" s="1218"/>
      <c r="K66" s="1218">
        <f>IF(スコア!M66=0,0,1)</f>
        <v>1</v>
      </c>
      <c r="L66" s="1218">
        <f>IF(スコア!N66=0,0,1)</f>
        <v>1</v>
      </c>
      <c r="M66" s="1218">
        <f t="shared" si="59"/>
        <v>0.2</v>
      </c>
      <c r="N66" s="1218">
        <f t="shared" si="60"/>
        <v>0</v>
      </c>
      <c r="O66" s="1303"/>
      <c r="P66" s="1211">
        <f t="shared" si="77"/>
        <v>4</v>
      </c>
      <c r="Q66" s="1211" t="str">
        <f>IF($P$3=1,AG66,AW66)</f>
        <v>1.3</v>
      </c>
      <c r="R66" s="1211" t="str">
        <f t="shared" si="76"/>
        <v>地域の資源の活用と住文化の継承</v>
      </c>
      <c r="S66" s="1284">
        <f t="shared" si="78"/>
        <v>0.2</v>
      </c>
      <c r="T66" s="1284"/>
      <c r="U66" s="1284"/>
      <c r="V66" s="1284"/>
      <c r="W66" s="1284"/>
      <c r="X66" s="1284"/>
      <c r="Y66" s="1284"/>
      <c r="Z66" s="1300"/>
      <c r="AA66" s="1284"/>
      <c r="AB66" s="1286"/>
      <c r="AC66" s="1284"/>
      <c r="AD66" s="1284"/>
      <c r="AE66" s="1292"/>
      <c r="AF66" s="1239">
        <v>4</v>
      </c>
      <c r="AG66" s="1239" t="s">
        <v>51</v>
      </c>
      <c r="AH66" s="1212" t="s">
        <v>737</v>
      </c>
      <c r="AI66" s="1240">
        <v>0.2</v>
      </c>
      <c r="AJ66" s="1293"/>
      <c r="AK66" s="1293"/>
      <c r="AL66" s="1293"/>
      <c r="AM66" s="1293"/>
      <c r="AN66" s="1293"/>
      <c r="AO66" s="1293"/>
      <c r="AP66" s="1294"/>
      <c r="AQ66" s="1293"/>
      <c r="AR66" s="1293"/>
      <c r="AS66" s="1293"/>
      <c r="AT66" s="1293"/>
      <c r="AU66" s="1295"/>
      <c r="AV66" s="1239">
        <v>4</v>
      </c>
      <c r="AW66" s="1239" t="s">
        <v>51</v>
      </c>
      <c r="AX66" s="1212" t="s">
        <v>1870</v>
      </c>
      <c r="AY66" s="1240">
        <v>0.2</v>
      </c>
    </row>
    <row r="67" spans="1:51" ht="15.6">
      <c r="B67" s="1205" t="s">
        <v>445</v>
      </c>
      <c r="C67" s="1206" t="str">
        <f t="shared" si="72"/>
        <v>すまいの環境負荷低減性</v>
      </c>
      <c r="D67" s="1207"/>
      <c r="E67" s="1207"/>
      <c r="F67" s="275"/>
      <c r="G67" s="1223"/>
      <c r="H67" s="1223"/>
      <c r="I67" s="1223">
        <f>G68+G79+G96</f>
        <v>1</v>
      </c>
      <c r="J67" s="1223">
        <f>H68+H79+H96</f>
        <v>0</v>
      </c>
      <c r="K67" s="1223"/>
      <c r="L67" s="1223"/>
      <c r="M67" s="1223"/>
      <c r="N67" s="1223"/>
      <c r="O67" s="1273"/>
      <c r="P67" s="1205" t="str">
        <f t="shared" si="77"/>
        <v>LRH</v>
      </c>
      <c r="Q67" s="1236"/>
      <c r="R67" s="1236" t="str">
        <f t="shared" si="76"/>
        <v>すまいの環境負荷低減性</v>
      </c>
      <c r="S67" s="1310"/>
      <c r="T67" s="1310"/>
      <c r="U67" s="1310"/>
      <c r="V67" s="1310"/>
      <c r="W67" s="1310"/>
      <c r="X67" s="1310"/>
      <c r="Y67" s="1310"/>
      <c r="Z67" s="1311"/>
      <c r="AA67" s="1310"/>
      <c r="AB67" s="1312"/>
      <c r="AC67" s="1246"/>
      <c r="AD67" s="1246"/>
      <c r="AE67" s="1278"/>
      <c r="AF67" s="1205" t="s">
        <v>445</v>
      </c>
      <c r="AG67" s="1236"/>
      <c r="AH67" s="1245" t="s">
        <v>714</v>
      </c>
      <c r="AI67" s="1246"/>
      <c r="AJ67" s="2622"/>
      <c r="AK67" s="2622"/>
      <c r="AL67" s="2622"/>
      <c r="AM67" s="2622"/>
      <c r="AN67" s="2622"/>
      <c r="AO67" s="2622"/>
      <c r="AP67" s="2623"/>
      <c r="AQ67" s="2622"/>
      <c r="AR67" s="2622"/>
      <c r="AS67" s="2622"/>
      <c r="AT67" s="2622"/>
      <c r="AU67" s="2621"/>
      <c r="AV67" s="1205" t="s">
        <v>445</v>
      </c>
      <c r="AW67" s="1236"/>
      <c r="AX67" s="1245" t="s">
        <v>714</v>
      </c>
      <c r="AY67" s="1246"/>
    </row>
    <row r="68" spans="1:51" ht="15.6">
      <c r="B68" s="1208" t="s">
        <v>451</v>
      </c>
      <c r="C68" s="1209" t="str">
        <f t="shared" si="72"/>
        <v>エネルギーと水を大切に使う</v>
      </c>
      <c r="D68" s="1219">
        <f>IF(I$67=0,0,G68/I$67)</f>
        <v>0.35</v>
      </c>
      <c r="E68" s="1219">
        <f>IF(J$67=0,0,H68/J$67)</f>
        <v>0</v>
      </c>
      <c r="F68" s="1279"/>
      <c r="G68" s="1224">
        <f>K68*((S$7*S68)+(T$7*T68)+(U$7*U68)+(V$7*V68)+(W$7*W68)+(X$7*X68)+(Y$7*Y68)+(Z$7*Z68)+(AA$7*AA68))</f>
        <v>0.35</v>
      </c>
      <c r="H68" s="1224">
        <f t="shared" ref="H68:H88" si="79">L68*((AB$7*AB68)+(AC$7*AC68)+(AD$7*AD68))</f>
        <v>0</v>
      </c>
      <c r="I68" s="1224">
        <f>G69+G73+G76</f>
        <v>1</v>
      </c>
      <c r="J68" s="1224">
        <f>H69+H73+H76</f>
        <v>0</v>
      </c>
      <c r="K68" s="1224">
        <f>IF(スコア!Q68=0,0,1)</f>
        <v>1</v>
      </c>
      <c r="L68" s="1224">
        <f>IF(スコア!R68=0,0,1)</f>
        <v>0</v>
      </c>
      <c r="M68" s="1224">
        <f>(S$7*S68)+(T$7*T68)+(U$7*U68)+(V$7*V68)+(W$7*W68)+(X$7*X68)+(Y$7*Y68)+(Z$7*Z68)+(AA$7*AA68)</f>
        <v>0.35</v>
      </c>
      <c r="N68" s="1224">
        <f>(AB$7*AB68)+(AC$7*AC68)+(AD$7*AD68)</f>
        <v>0</v>
      </c>
      <c r="O68" s="1302"/>
      <c r="P68" s="1281" t="str">
        <f>IF($P$3=1,AF68,AV68)</f>
        <v>LRH1</v>
      </c>
      <c r="Q68" s="1281" t="str">
        <f t="shared" si="74"/>
        <v>2</v>
      </c>
      <c r="R68" s="1281" t="str">
        <f>IF($P$3=1,AH68,AX68)</f>
        <v>エネルギーと水を大切に使う</v>
      </c>
      <c r="S68" s="1282">
        <f t="shared" si="78"/>
        <v>0.35</v>
      </c>
      <c r="T68" s="1282"/>
      <c r="U68" s="1282"/>
      <c r="V68" s="1282"/>
      <c r="W68" s="1282"/>
      <c r="X68" s="1282"/>
      <c r="Y68" s="1282"/>
      <c r="Z68" s="1282"/>
      <c r="AA68" s="1282"/>
      <c r="AB68" s="1283"/>
      <c r="AC68" s="1282"/>
      <c r="AD68" s="1282"/>
      <c r="AE68" s="1292"/>
      <c r="AF68" s="1208" t="s">
        <v>451</v>
      </c>
      <c r="AG68" s="1208" t="s">
        <v>559</v>
      </c>
      <c r="AH68" s="1209" t="s">
        <v>452</v>
      </c>
      <c r="AI68" s="1238">
        <v>0.35</v>
      </c>
      <c r="AJ68" s="1293"/>
      <c r="AK68" s="1293"/>
      <c r="AL68" s="1293"/>
      <c r="AM68" s="1293"/>
      <c r="AN68" s="1293"/>
      <c r="AO68" s="1293"/>
      <c r="AP68" s="1294"/>
      <c r="AQ68" s="1293"/>
      <c r="AR68" s="1293"/>
      <c r="AS68" s="1293"/>
      <c r="AT68" s="1293"/>
      <c r="AU68" s="1295"/>
      <c r="AV68" s="1208" t="s">
        <v>451</v>
      </c>
      <c r="AW68" s="1208" t="s">
        <v>559</v>
      </c>
      <c r="AX68" s="1209" t="s">
        <v>452</v>
      </c>
      <c r="AY68" s="1238">
        <v>0.35</v>
      </c>
    </row>
    <row r="69" spans="1:51">
      <c r="B69" s="1211">
        <f t="shared" ref="B69:B78" si="80">P69</f>
        <v>1</v>
      </c>
      <c r="C69" s="1212" t="str">
        <f t="shared" si="72"/>
        <v>総合的な省エネ</v>
      </c>
      <c r="D69" s="1213">
        <f>IF(I$68=0,0,G69/I$68)</f>
        <v>0.75</v>
      </c>
      <c r="E69" s="1213">
        <f>IF(J$68=0,0,H69/J$68)</f>
        <v>0</v>
      </c>
      <c r="F69" s="1303"/>
      <c r="G69" s="1218">
        <f t="shared" ref="G69:G96" si="81">K69*((S$7*S69)+(T$7*T69)+(U$7*U69)+(V$7*V69)+(W$7*W69)+(X$7*X69)+(Y$7*Y69)+(Z$7*Z69)+(AA$7*AA69))</f>
        <v>0.75</v>
      </c>
      <c r="H69" s="1218">
        <f t="shared" si="79"/>
        <v>0</v>
      </c>
      <c r="I69" s="1305">
        <f>SUM(G70:G72)</f>
        <v>1</v>
      </c>
      <c r="J69" s="1305">
        <f>SUM(H70:H72)</f>
        <v>0</v>
      </c>
      <c r="K69" s="1218">
        <f>IF(スコア!M69=0,0,1)</f>
        <v>1</v>
      </c>
      <c r="L69" s="1218">
        <f>IF(スコア!R69=0,0,1)</f>
        <v>0</v>
      </c>
      <c r="M69" s="1218">
        <f>(S$7*S69)+(T$7*T69)+(U$7*U69)+(V$7*V69)+(W$7*W69)+(X$7*X69)+(Y$7*Y69)+(Z$7*Z69)+(AA$7*AA69)</f>
        <v>0.75</v>
      </c>
      <c r="N69" s="1218">
        <f>(AB$7*AB69)+(AC$7*AC69)+(AD$7*AD69)</f>
        <v>0</v>
      </c>
      <c r="O69" s="1303"/>
      <c r="P69" s="1313">
        <f>IF($P$3=1,AF69,AV69)</f>
        <v>1</v>
      </c>
      <c r="Q69" s="1313" t="str">
        <f t="shared" si="74"/>
        <v>2.1</v>
      </c>
      <c r="R69" s="1211" t="str">
        <f>IF($P$3=1,AH69,AX69)</f>
        <v>総合的な省エネ</v>
      </c>
      <c r="S69" s="1297">
        <f t="shared" si="78"/>
        <v>0.75</v>
      </c>
      <c r="T69" s="1297"/>
      <c r="U69" s="1297"/>
      <c r="V69" s="1297"/>
      <c r="W69" s="1297"/>
      <c r="X69" s="1297"/>
      <c r="Y69" s="1297"/>
      <c r="Z69" s="1285"/>
      <c r="AA69" s="1297"/>
      <c r="AB69" s="1286"/>
      <c r="AC69" s="1284"/>
      <c r="AD69" s="1284"/>
      <c r="AE69" s="1269"/>
      <c r="AF69" s="1247">
        <v>1</v>
      </c>
      <c r="AG69" s="1239" t="s">
        <v>560</v>
      </c>
      <c r="AH69" s="1212" t="s">
        <v>627</v>
      </c>
      <c r="AI69" s="1244">
        <v>0.75</v>
      </c>
      <c r="AJ69" s="1235"/>
      <c r="AK69" s="1235"/>
      <c r="AL69" s="1235"/>
      <c r="AM69" s="1235"/>
      <c r="AN69" s="1235"/>
      <c r="AO69" s="1235"/>
      <c r="AP69" s="1272"/>
      <c r="AQ69" s="1235"/>
      <c r="AR69" s="1235"/>
      <c r="AS69" s="1235"/>
      <c r="AT69" s="1235"/>
      <c r="AU69" s="2621"/>
      <c r="AV69" s="1247">
        <v>1</v>
      </c>
      <c r="AW69" s="1239" t="s">
        <v>560</v>
      </c>
      <c r="AX69" s="1212" t="s">
        <v>627</v>
      </c>
      <c r="AY69" s="1244">
        <v>0.75</v>
      </c>
    </row>
    <row r="70" spans="1:51">
      <c r="B70" s="1214" t="str">
        <f t="shared" si="80"/>
        <v>1.1</v>
      </c>
      <c r="C70" s="1215" t="str">
        <f t="shared" si="72"/>
        <v>躯体と設備による省エネ</v>
      </c>
      <c r="D70" s="1216">
        <f t="shared" ref="D70:E72" si="82">IF(I$69=0,0,G70/I$69)</f>
        <v>0.45</v>
      </c>
      <c r="E70" s="1216">
        <f t="shared" si="82"/>
        <v>0</v>
      </c>
      <c r="F70" s="1306"/>
      <c r="G70" s="1225">
        <f>K70*((S$7*S70)+(T$7*T70)+(U$7*U70)+(V$7*V70)+(W$7*W70)+(X$7*X70)+(Y$7*Y70)+(Z$7*Z70)+(AA$7*AA70))</f>
        <v>0.45</v>
      </c>
      <c r="H70" s="1225">
        <f>L70*((AB$7*AB70)+(AC$7*AC70)+(AD$7*AD70))</f>
        <v>0</v>
      </c>
      <c r="I70" s="1225"/>
      <c r="J70" s="1225"/>
      <c r="K70" s="1225">
        <f>IF(スコア!M70=0,0,1)</f>
        <v>1</v>
      </c>
      <c r="L70" s="1225">
        <f>IF(スコア!R70=0,0,1)</f>
        <v>0</v>
      </c>
      <c r="M70" s="1225">
        <f>(S$7*S70)+(T$7*T70)+(U$7*U70)+(V$7*V70)+(W$7*W70)+(X$7*X70)+(Y$7*Y70)+(Z$7*Z70)+(AA$7*AA70)</f>
        <v>0.45</v>
      </c>
      <c r="N70" s="1225">
        <f>(AB$7*AB70)+(AC$7*AC70)+(AD$7*AD70)</f>
        <v>0</v>
      </c>
      <c r="O70" s="1306"/>
      <c r="P70" s="1214" t="str">
        <f>IF($P$3=1,AF70,AV70)</f>
        <v>1.1</v>
      </c>
      <c r="Q70" s="1214" t="str">
        <f>IF($P$3=1,AG70,AW70)</f>
        <v>2.1.1</v>
      </c>
      <c r="R70" s="1214" t="str">
        <f>IF($P$3=1,AH70,AX70)</f>
        <v>躯体と設備による省エネ</v>
      </c>
      <c r="S70" s="1287">
        <f t="shared" si="78"/>
        <v>0.45</v>
      </c>
      <c r="T70" s="1287"/>
      <c r="U70" s="1287"/>
      <c r="V70" s="1287"/>
      <c r="W70" s="1287"/>
      <c r="X70" s="1287"/>
      <c r="Y70" s="1287"/>
      <c r="Z70" s="1289"/>
      <c r="AA70" s="1287"/>
      <c r="AB70" s="1309"/>
      <c r="AC70" s="1307"/>
      <c r="AD70" s="1307"/>
      <c r="AE70" s="1269"/>
      <c r="AF70" s="1241" t="s">
        <v>671</v>
      </c>
      <c r="AG70" s="1241" t="s">
        <v>632</v>
      </c>
      <c r="AH70" s="1215" t="s">
        <v>626</v>
      </c>
      <c r="AI70" s="1242">
        <v>0.45</v>
      </c>
      <c r="AJ70" s="1235"/>
      <c r="AK70" s="1235"/>
      <c r="AL70" s="1235"/>
      <c r="AM70" s="1235"/>
      <c r="AN70" s="1235"/>
      <c r="AO70" s="1235"/>
      <c r="AP70" s="1272"/>
      <c r="AQ70" s="1235"/>
      <c r="AR70" s="1235"/>
      <c r="AS70" s="1235"/>
      <c r="AT70" s="1235"/>
      <c r="AU70" s="2621"/>
      <c r="AV70" s="1241" t="s">
        <v>671</v>
      </c>
      <c r="AW70" s="1241" t="s">
        <v>632</v>
      </c>
      <c r="AX70" s="1215" t="s">
        <v>626</v>
      </c>
      <c r="AY70" s="1242">
        <v>0.45</v>
      </c>
    </row>
    <row r="71" spans="1:51" s="2133" customFormat="1">
      <c r="A71"/>
      <c r="B71" s="1241" t="str">
        <f t="shared" si="80"/>
        <v>1.2</v>
      </c>
      <c r="C71" s="1215" t="str">
        <f t="shared" si="72"/>
        <v>太陽光発電設備の導入</v>
      </c>
      <c r="D71" s="1216">
        <f t="shared" si="82"/>
        <v>0.45</v>
      </c>
      <c r="E71" s="1216">
        <f t="shared" si="82"/>
        <v>0</v>
      </c>
      <c r="F71" s="1306"/>
      <c r="G71" s="1225">
        <f>K71*((S$7*S71)+(T$7*T71)+(U$7*U71)+(V$7*V71)+(W$7*W71)+(X$7*X71)+(Y$7*Y71)+(Z$7*Z71)+(AA$7*AA71))</f>
        <v>0.45</v>
      </c>
      <c r="H71" s="1225">
        <f>L71*((AB$7*AB71)+(AC$7*AC71)+(AD$7*AD71))</f>
        <v>0</v>
      </c>
      <c r="I71" s="1225"/>
      <c r="J71" s="1225"/>
      <c r="K71" s="1225">
        <f>IF(スコア!M71=0,0,1)</f>
        <v>1</v>
      </c>
      <c r="L71" s="1225">
        <f>IF(スコア!R71=0,0,1)</f>
        <v>0</v>
      </c>
      <c r="M71" s="1225">
        <f t="shared" ref="M71:M72" si="83">(S$7*S71)+(T$7*T71)+(U$7*U71)+(V$7*V71)+(W$7*W71)+(X$7*X71)+(Y$7*Y71)+(Z$7*Z71)+(AA$7*AA71)</f>
        <v>0.45</v>
      </c>
      <c r="N71" s="1225">
        <f t="shared" ref="N71:N72" si="84">(AB$7*AB71)+(AC$7*AC71)+(AD$7*AD71)</f>
        <v>0</v>
      </c>
      <c r="O71" s="1306"/>
      <c r="P71" s="1241" t="s">
        <v>628</v>
      </c>
      <c r="Q71" s="1241" t="s">
        <v>632</v>
      </c>
      <c r="R71" s="1214" t="str">
        <f>IF($P$3=1,AH71,AX71)</f>
        <v>太陽光発電設備の導入</v>
      </c>
      <c r="S71" s="1287">
        <f t="shared" si="78"/>
        <v>0.45</v>
      </c>
      <c r="T71" s="2144"/>
      <c r="U71" s="2144"/>
      <c r="V71" s="2144"/>
      <c r="W71" s="2144"/>
      <c r="X71" s="2144"/>
      <c r="Y71" s="2144"/>
      <c r="Z71" s="2148"/>
      <c r="AA71" s="2144"/>
      <c r="AB71" s="2149"/>
      <c r="AC71" s="2150"/>
      <c r="AD71" s="2150"/>
      <c r="AE71" s="2147"/>
      <c r="AF71" s="1241" t="s">
        <v>628</v>
      </c>
      <c r="AG71" s="1241" t="s">
        <v>632</v>
      </c>
      <c r="AH71" s="1215" t="s">
        <v>1843</v>
      </c>
      <c r="AI71" s="1242">
        <v>0.45</v>
      </c>
      <c r="AJ71" s="1235"/>
      <c r="AK71" s="1235"/>
      <c r="AL71" s="1235"/>
      <c r="AM71" s="1235"/>
      <c r="AN71" s="1235"/>
      <c r="AO71" s="1235"/>
      <c r="AP71" s="1272"/>
      <c r="AQ71" s="1235"/>
      <c r="AR71" s="1235"/>
      <c r="AS71" s="1235"/>
      <c r="AT71" s="1235"/>
      <c r="AU71" s="2621"/>
      <c r="AV71" s="1241" t="s">
        <v>628</v>
      </c>
      <c r="AW71" s="1241" t="s">
        <v>632</v>
      </c>
      <c r="AX71" s="1215" t="s">
        <v>1911</v>
      </c>
      <c r="AY71" s="1242">
        <v>0.45</v>
      </c>
    </row>
    <row r="72" spans="1:51">
      <c r="B72" s="1214" t="str">
        <f t="shared" si="80"/>
        <v>1.3</v>
      </c>
      <c r="C72" s="1215" t="str">
        <f t="shared" si="72"/>
        <v>家電・厨房機器による省エネ</v>
      </c>
      <c r="D72" s="1216">
        <f t="shared" si="82"/>
        <v>0.1</v>
      </c>
      <c r="E72" s="1216">
        <f t="shared" si="82"/>
        <v>0</v>
      </c>
      <c r="F72" s="1316"/>
      <c r="G72" s="1225">
        <f t="shared" si="81"/>
        <v>0.1</v>
      </c>
      <c r="H72" s="1225">
        <f t="shared" si="79"/>
        <v>0</v>
      </c>
      <c r="I72" s="1225"/>
      <c r="J72" s="1225"/>
      <c r="K72" s="1225">
        <f>IF(スコア!M72=0,0,1)</f>
        <v>1</v>
      </c>
      <c r="L72" s="1225">
        <f>IF(スコア!R72=0,0,1)</f>
        <v>0</v>
      </c>
      <c r="M72" s="1225">
        <f t="shared" si="83"/>
        <v>0.1</v>
      </c>
      <c r="N72" s="1225">
        <f t="shared" si="84"/>
        <v>0</v>
      </c>
      <c r="O72" s="1306"/>
      <c r="P72" s="1214" t="str">
        <f>IF($P$3=1,AF72,AV72)</f>
        <v>1.3</v>
      </c>
      <c r="Q72" s="1214" t="str">
        <f>IF($P$3=1,AG72,AW72)</f>
        <v>2.1.1</v>
      </c>
      <c r="R72" s="1214" t="str">
        <f>IF($P$3=1,AH72,AX72)</f>
        <v>家電・厨房機器による省エネ</v>
      </c>
      <c r="S72" s="1287">
        <f>IF($P$3=1,AI72,AY72)</f>
        <v>0.1</v>
      </c>
      <c r="T72" s="1287"/>
      <c r="U72" s="1287"/>
      <c r="V72" s="1287"/>
      <c r="W72" s="1287"/>
      <c r="X72" s="1287"/>
      <c r="Y72" s="1287"/>
      <c r="Z72" s="1289"/>
      <c r="AA72" s="1287"/>
      <c r="AB72" s="1309"/>
      <c r="AC72" s="1307"/>
      <c r="AD72" s="1307"/>
      <c r="AE72" s="1269"/>
      <c r="AF72" s="1241" t="s">
        <v>1683</v>
      </c>
      <c r="AG72" s="1241" t="s">
        <v>632</v>
      </c>
      <c r="AH72" s="1215" t="s">
        <v>629</v>
      </c>
      <c r="AI72" s="1242">
        <v>0.1</v>
      </c>
      <c r="AJ72" s="1235"/>
      <c r="AK72" s="1235"/>
      <c r="AL72" s="1235"/>
      <c r="AM72" s="1235"/>
      <c r="AN72" s="1235"/>
      <c r="AO72" s="1235"/>
      <c r="AP72" s="1272"/>
      <c r="AQ72" s="1235"/>
      <c r="AR72" s="1235"/>
      <c r="AS72" s="1235"/>
      <c r="AT72" s="1235"/>
      <c r="AU72" s="2621"/>
      <c r="AV72" s="1241" t="s">
        <v>1683</v>
      </c>
      <c r="AW72" s="1241" t="s">
        <v>632</v>
      </c>
      <c r="AX72" s="1215" t="s">
        <v>629</v>
      </c>
      <c r="AY72" s="1242">
        <v>0.1</v>
      </c>
    </row>
    <row r="73" spans="1:51">
      <c r="B73" s="1211" t="str">
        <f t="shared" si="80"/>
        <v>2</v>
      </c>
      <c r="C73" s="1212" t="str">
        <f t="shared" si="72"/>
        <v>水の節約</v>
      </c>
      <c r="D73" s="1213">
        <f>IF(I$68=0,0,G73/I$68)</f>
        <v>0.15</v>
      </c>
      <c r="E73" s="1213">
        <f>IF(J$68=0,0,H73/J$68)</f>
        <v>0</v>
      </c>
      <c r="F73" s="1303"/>
      <c r="G73" s="1218">
        <f t="shared" si="81"/>
        <v>0.15</v>
      </c>
      <c r="H73" s="1218">
        <f t="shared" si="79"/>
        <v>0</v>
      </c>
      <c r="I73" s="1305">
        <f>SUM(G74:G75)</f>
        <v>1</v>
      </c>
      <c r="J73" s="1305">
        <f>SUM(H74:H75)</f>
        <v>0</v>
      </c>
      <c r="K73" s="1218">
        <f>IF(スコア!M73=0,0,1)</f>
        <v>1</v>
      </c>
      <c r="L73" s="1218">
        <f>IF(スコア!R73=0,0,1)</f>
        <v>0</v>
      </c>
      <c r="M73" s="1218">
        <f t="shared" ref="M73:M104" si="85">(S$7*S73)+(T$7*T73)+(U$7*U73)+(V$7*V73)+(W$7*W73)+(X$7*X73)+(Y$7*Y73)+(Z$7*Z73)+(AA$7*AA73)</f>
        <v>0.15</v>
      </c>
      <c r="N73" s="1218">
        <f t="shared" ref="N73:N104" si="86">(AB$7*AB73)+(AC$7*AC73)+(AD$7*AD73)</f>
        <v>0</v>
      </c>
      <c r="O73" s="1303"/>
      <c r="P73" s="1211" t="str">
        <f t="shared" ref="P73:P92" si="87">IF($P$3=1,AF73,AV73)</f>
        <v>2</v>
      </c>
      <c r="Q73" s="1211" t="str">
        <f t="shared" si="74"/>
        <v>2.1</v>
      </c>
      <c r="R73" s="1211" t="str">
        <f t="shared" ref="R73:R81" si="88">IF($P$3=1,AH73,AX73)</f>
        <v>水の節約</v>
      </c>
      <c r="S73" s="1297">
        <f t="shared" ref="S73:S81" si="89">IF($P$3=1,AI73,AY73)</f>
        <v>0.15</v>
      </c>
      <c r="T73" s="1297"/>
      <c r="U73" s="1297"/>
      <c r="V73" s="1297"/>
      <c r="W73" s="1297"/>
      <c r="X73" s="1297"/>
      <c r="Y73" s="1297"/>
      <c r="Z73" s="1285"/>
      <c r="AA73" s="1297"/>
      <c r="AB73" s="1286"/>
      <c r="AC73" s="1284"/>
      <c r="AD73" s="1284"/>
      <c r="AE73" s="1292"/>
      <c r="AF73" s="1239" t="s">
        <v>458</v>
      </c>
      <c r="AG73" s="1239" t="s">
        <v>560</v>
      </c>
      <c r="AH73" s="1212" t="s">
        <v>529</v>
      </c>
      <c r="AI73" s="1244">
        <v>0.15</v>
      </c>
      <c r="AJ73" s="1293"/>
      <c r="AK73" s="1293"/>
      <c r="AL73" s="1293"/>
      <c r="AM73" s="1293"/>
      <c r="AN73" s="1293"/>
      <c r="AO73" s="1293"/>
      <c r="AP73" s="1294"/>
      <c r="AQ73" s="1293"/>
      <c r="AR73" s="1293"/>
      <c r="AS73" s="1293"/>
      <c r="AT73" s="1293"/>
      <c r="AU73" s="1295"/>
      <c r="AV73" s="1239" t="s">
        <v>458</v>
      </c>
      <c r="AW73" s="1239" t="s">
        <v>560</v>
      </c>
      <c r="AX73" s="1212" t="s">
        <v>529</v>
      </c>
      <c r="AY73" s="1244">
        <v>0.15</v>
      </c>
    </row>
    <row r="74" spans="1:51">
      <c r="B74" s="1214" t="str">
        <f t="shared" si="80"/>
        <v>2.1</v>
      </c>
      <c r="C74" s="1214" t="str">
        <f t="shared" si="72"/>
        <v>節水型設備</v>
      </c>
      <c r="D74" s="1216">
        <f>IF(I$73=0,0,G74/I$73)</f>
        <v>0.75</v>
      </c>
      <c r="E74" s="1216">
        <f>IF(J$73=0,0,H74/J$73)</f>
        <v>0</v>
      </c>
      <c r="F74" s="1315"/>
      <c r="G74" s="1225">
        <f t="shared" si="81"/>
        <v>0.75</v>
      </c>
      <c r="H74" s="1225">
        <f t="shared" si="79"/>
        <v>0</v>
      </c>
      <c r="I74" s="1225"/>
      <c r="J74" s="1225"/>
      <c r="K74" s="1225">
        <f>IF(スコア!M74=0,0,1)</f>
        <v>1</v>
      </c>
      <c r="L74" s="1225">
        <f>IF(スコア!R74=0,0,1)</f>
        <v>0</v>
      </c>
      <c r="M74" s="1225">
        <f t="shared" si="85"/>
        <v>0.75</v>
      </c>
      <c r="N74" s="1225">
        <f t="shared" si="86"/>
        <v>0</v>
      </c>
      <c r="O74" s="1315"/>
      <c r="P74" s="1214" t="str">
        <f t="shared" si="87"/>
        <v>2.1</v>
      </c>
      <c r="Q74" s="1214" t="str">
        <f t="shared" si="74"/>
        <v>2.1.3</v>
      </c>
      <c r="R74" s="1214" t="str">
        <f t="shared" si="88"/>
        <v>節水型設備</v>
      </c>
      <c r="S74" s="1287">
        <f t="shared" si="89"/>
        <v>0.75</v>
      </c>
      <c r="T74" s="1287"/>
      <c r="U74" s="1287"/>
      <c r="V74" s="1287"/>
      <c r="W74" s="1287"/>
      <c r="X74" s="1287"/>
      <c r="Y74" s="1287"/>
      <c r="Z74" s="1289"/>
      <c r="AA74" s="1287"/>
      <c r="AB74" s="1288"/>
      <c r="AC74" s="1287"/>
      <c r="AD74" s="1287"/>
      <c r="AE74" s="1269"/>
      <c r="AF74" s="1241" t="s">
        <v>460</v>
      </c>
      <c r="AG74" s="1241" t="s">
        <v>185</v>
      </c>
      <c r="AH74" s="1215" t="s">
        <v>530</v>
      </c>
      <c r="AI74" s="1242">
        <v>0.75</v>
      </c>
      <c r="AJ74" s="1235"/>
      <c r="AK74" s="1235"/>
      <c r="AL74" s="1235"/>
      <c r="AM74" s="1235"/>
      <c r="AN74" s="1235"/>
      <c r="AO74" s="1235"/>
      <c r="AP74" s="1272"/>
      <c r="AQ74" s="1235"/>
      <c r="AR74" s="1235"/>
      <c r="AS74" s="1235"/>
      <c r="AT74" s="1235"/>
      <c r="AU74" s="2621"/>
      <c r="AV74" s="1241" t="s">
        <v>460</v>
      </c>
      <c r="AW74" s="1241" t="s">
        <v>185</v>
      </c>
      <c r="AX74" s="1215" t="s">
        <v>530</v>
      </c>
      <c r="AY74" s="1242">
        <v>0.75</v>
      </c>
    </row>
    <row r="75" spans="1:51">
      <c r="B75" s="1214" t="str">
        <f t="shared" si="80"/>
        <v>2.2</v>
      </c>
      <c r="C75" s="1215" t="str">
        <f t="shared" si="72"/>
        <v>雨水の利用</v>
      </c>
      <c r="D75" s="1216">
        <f>IF(I$73=0,0,G75/I$73)</f>
        <v>0.25</v>
      </c>
      <c r="E75" s="1216">
        <f>IF(J$73=0,0,H75/J$73)</f>
        <v>0</v>
      </c>
      <c r="F75" s="1316"/>
      <c r="G75" s="1225">
        <f t="shared" si="81"/>
        <v>0.25</v>
      </c>
      <c r="H75" s="1225">
        <f t="shared" si="79"/>
        <v>0</v>
      </c>
      <c r="I75" s="1225"/>
      <c r="J75" s="1225"/>
      <c r="K75" s="1225">
        <f>IF(スコア!M75=0,0,1)</f>
        <v>1</v>
      </c>
      <c r="L75" s="1225">
        <f>IF(スコア!R75=0,0,1)</f>
        <v>0</v>
      </c>
      <c r="M75" s="1225">
        <f t="shared" si="85"/>
        <v>0.25</v>
      </c>
      <c r="N75" s="1225">
        <f t="shared" si="86"/>
        <v>0</v>
      </c>
      <c r="O75" s="1316"/>
      <c r="P75" s="1214" t="str">
        <f t="shared" si="87"/>
        <v>2.2</v>
      </c>
      <c r="Q75" s="1214" t="str">
        <f t="shared" ref="Q75:Q92" si="90">IF($P$3=1,AG75,AW75)</f>
        <v>2.1.3</v>
      </c>
      <c r="R75" s="1214" t="str">
        <f t="shared" si="88"/>
        <v>雨水の利用</v>
      </c>
      <c r="S75" s="1287">
        <f t="shared" si="89"/>
        <v>0.25</v>
      </c>
      <c r="T75" s="1287"/>
      <c r="U75" s="1287"/>
      <c r="V75" s="1287"/>
      <c r="W75" s="1287"/>
      <c r="X75" s="1287"/>
      <c r="Y75" s="1287"/>
      <c r="Z75" s="1289"/>
      <c r="AA75" s="1287"/>
      <c r="AB75" s="1288"/>
      <c r="AC75" s="1287"/>
      <c r="AD75" s="1287"/>
      <c r="AE75" s="1269"/>
      <c r="AF75" s="1241" t="s">
        <v>463</v>
      </c>
      <c r="AG75" s="1241" t="s">
        <v>185</v>
      </c>
      <c r="AH75" s="1215" t="s">
        <v>532</v>
      </c>
      <c r="AI75" s="1242">
        <v>0.25</v>
      </c>
      <c r="AJ75" s="1235"/>
      <c r="AK75" s="1235"/>
      <c r="AL75" s="1235"/>
      <c r="AM75" s="1235"/>
      <c r="AN75" s="1235"/>
      <c r="AO75" s="1235"/>
      <c r="AP75" s="1272"/>
      <c r="AQ75" s="1235"/>
      <c r="AR75" s="1235"/>
      <c r="AS75" s="1235"/>
      <c r="AT75" s="1235"/>
      <c r="AU75" s="2621"/>
      <c r="AV75" s="1241" t="s">
        <v>463</v>
      </c>
      <c r="AW75" s="1241" t="s">
        <v>185</v>
      </c>
      <c r="AX75" s="1215" t="s">
        <v>532</v>
      </c>
      <c r="AY75" s="1242">
        <v>0.25</v>
      </c>
    </row>
    <row r="76" spans="1:51">
      <c r="B76" s="1211" t="str">
        <f t="shared" si="80"/>
        <v>3</v>
      </c>
      <c r="C76" s="1212" t="str">
        <f t="shared" si="72"/>
        <v>維持管理と運用の工夫</v>
      </c>
      <c r="D76" s="1213">
        <f>IF(I$68=0,0,G76/I$68)</f>
        <v>0.1</v>
      </c>
      <c r="E76" s="1213">
        <f>IF(J$68=0,0,H76/J$68)</f>
        <v>0</v>
      </c>
      <c r="F76" s="1303"/>
      <c r="G76" s="1218">
        <f t="shared" si="81"/>
        <v>0.1</v>
      </c>
      <c r="H76" s="1218">
        <f t="shared" si="79"/>
        <v>0</v>
      </c>
      <c r="I76" s="1218">
        <f>G77+G78</f>
        <v>1</v>
      </c>
      <c r="J76" s="1218">
        <f>H77+H78</f>
        <v>0</v>
      </c>
      <c r="K76" s="1218">
        <f>IF(スコア!M76=0,0,1)</f>
        <v>1</v>
      </c>
      <c r="L76" s="1218">
        <f>IF(スコア!R76=0,0,1)</f>
        <v>0</v>
      </c>
      <c r="M76" s="1218">
        <f t="shared" si="85"/>
        <v>0.1</v>
      </c>
      <c r="N76" s="1218">
        <f t="shared" si="86"/>
        <v>0</v>
      </c>
      <c r="O76" s="1303"/>
      <c r="P76" s="1313" t="str">
        <f t="shared" si="87"/>
        <v>3</v>
      </c>
      <c r="Q76" s="1313" t="str">
        <f t="shared" si="90"/>
        <v>2.1</v>
      </c>
      <c r="R76" s="1211" t="str">
        <f t="shared" si="88"/>
        <v>維持管理と運用の工夫</v>
      </c>
      <c r="S76" s="1297">
        <f t="shared" si="89"/>
        <v>0.1</v>
      </c>
      <c r="T76" s="1297"/>
      <c r="U76" s="1297"/>
      <c r="V76" s="1297"/>
      <c r="W76" s="1297"/>
      <c r="X76" s="1297"/>
      <c r="Y76" s="1297"/>
      <c r="Z76" s="1285"/>
      <c r="AA76" s="1297"/>
      <c r="AB76" s="1286"/>
      <c r="AC76" s="1284"/>
      <c r="AD76" s="1284"/>
      <c r="AE76" s="1269"/>
      <c r="AF76" s="1247" t="s">
        <v>465</v>
      </c>
      <c r="AG76" s="1239" t="s">
        <v>560</v>
      </c>
      <c r="AH76" s="1212" t="s">
        <v>534</v>
      </c>
      <c r="AI76" s="1244">
        <v>0.1</v>
      </c>
      <c r="AJ76" s="1235"/>
      <c r="AK76" s="1235"/>
      <c r="AL76" s="1235"/>
      <c r="AM76" s="1235"/>
      <c r="AN76" s="1235"/>
      <c r="AO76" s="1235"/>
      <c r="AP76" s="1272"/>
      <c r="AQ76" s="1235"/>
      <c r="AR76" s="1235"/>
      <c r="AS76" s="1235"/>
      <c r="AT76" s="1235"/>
      <c r="AU76" s="2621"/>
      <c r="AV76" s="1247" t="s">
        <v>465</v>
      </c>
      <c r="AW76" s="1239" t="s">
        <v>560</v>
      </c>
      <c r="AX76" s="1212" t="s">
        <v>534</v>
      </c>
      <c r="AY76" s="1244">
        <v>0.1</v>
      </c>
    </row>
    <row r="77" spans="1:51">
      <c r="B77" s="1214" t="str">
        <f t="shared" si="80"/>
        <v>3.1</v>
      </c>
      <c r="C77" s="1214" t="str">
        <f t="shared" si="72"/>
        <v>住まい方の堤示</v>
      </c>
      <c r="D77" s="1216">
        <f>IF(I$76=0,0,G77/I$76)</f>
        <v>0.5</v>
      </c>
      <c r="E77" s="1216">
        <f>IF(J$76=0,0,H77/J$76)</f>
        <v>0</v>
      </c>
      <c r="F77" s="681"/>
      <c r="G77" s="1225">
        <f t="shared" si="81"/>
        <v>0.5</v>
      </c>
      <c r="H77" s="1225">
        <f t="shared" si="79"/>
        <v>0</v>
      </c>
      <c r="I77" s="1225"/>
      <c r="J77" s="1225"/>
      <c r="K77" s="1225">
        <f>IF(スコア!M77=0,0,1)</f>
        <v>1</v>
      </c>
      <c r="L77" s="1225">
        <f>IF(スコア!R77=0,0,1)</f>
        <v>0</v>
      </c>
      <c r="M77" s="1225">
        <f t="shared" si="85"/>
        <v>0.5</v>
      </c>
      <c r="N77" s="1225">
        <f t="shared" si="86"/>
        <v>0</v>
      </c>
      <c r="O77" s="1315"/>
      <c r="P77" s="1214" t="str">
        <f t="shared" si="87"/>
        <v>3.1</v>
      </c>
      <c r="Q77" s="1214" t="str">
        <f t="shared" si="90"/>
        <v>2.1.4</v>
      </c>
      <c r="R77" s="1214" t="str">
        <f t="shared" si="88"/>
        <v>住まい方の堤示</v>
      </c>
      <c r="S77" s="1287">
        <f t="shared" si="89"/>
        <v>0.5</v>
      </c>
      <c r="T77" s="1287"/>
      <c r="U77" s="1287"/>
      <c r="V77" s="1287"/>
      <c r="W77" s="1287"/>
      <c r="X77" s="1287"/>
      <c r="Y77" s="1287"/>
      <c r="Z77" s="1289"/>
      <c r="AA77" s="1287"/>
      <c r="AB77" s="1288"/>
      <c r="AC77" s="1307"/>
      <c r="AD77" s="1307"/>
      <c r="AE77" s="1269"/>
      <c r="AF77" s="1241" t="s">
        <v>467</v>
      </c>
      <c r="AG77" s="1241" t="s">
        <v>186</v>
      </c>
      <c r="AH77" s="1215" t="s">
        <v>567</v>
      </c>
      <c r="AI77" s="1242">
        <v>0.5</v>
      </c>
      <c r="AJ77" s="1235"/>
      <c r="AK77" s="1235"/>
      <c r="AL77" s="1235"/>
      <c r="AM77" s="1235"/>
      <c r="AN77" s="1235"/>
      <c r="AO77" s="1235"/>
      <c r="AP77" s="1272"/>
      <c r="AQ77" s="1235"/>
      <c r="AR77" s="1235"/>
      <c r="AS77" s="1235"/>
      <c r="AT77" s="1235"/>
      <c r="AU77" s="2621"/>
      <c r="AV77" s="1241" t="s">
        <v>467</v>
      </c>
      <c r="AW77" s="1241" t="s">
        <v>186</v>
      </c>
      <c r="AX77" s="1215" t="s">
        <v>567</v>
      </c>
      <c r="AY77" s="1242">
        <v>0.5</v>
      </c>
    </row>
    <row r="78" spans="1:51">
      <c r="B78" s="1214" t="str">
        <f t="shared" si="80"/>
        <v>3.2</v>
      </c>
      <c r="C78" s="1215" t="str">
        <f t="shared" si="72"/>
        <v>エネルギーの管理と制御</v>
      </c>
      <c r="D78" s="1216">
        <f>IF(I$76=0,0,G78/I$76)</f>
        <v>0.5</v>
      </c>
      <c r="E78" s="1216">
        <f>IF(J$76=0,0,H78/J$76)</f>
        <v>0</v>
      </c>
      <c r="F78" s="1299"/>
      <c r="G78" s="1225">
        <f t="shared" si="81"/>
        <v>0.5</v>
      </c>
      <c r="H78" s="1225">
        <f t="shared" si="79"/>
        <v>0</v>
      </c>
      <c r="I78" s="1225"/>
      <c r="J78" s="1225"/>
      <c r="K78" s="1225">
        <f>IF(スコア!M78=0,0,1)</f>
        <v>1</v>
      </c>
      <c r="L78" s="1225">
        <f>IF(スコア!R78=0,0,1)</f>
        <v>0</v>
      </c>
      <c r="M78" s="1225">
        <f t="shared" si="85"/>
        <v>0.5</v>
      </c>
      <c r="N78" s="1225">
        <f t="shared" si="86"/>
        <v>0</v>
      </c>
      <c r="O78" s="1315"/>
      <c r="P78" s="1214" t="str">
        <f t="shared" si="87"/>
        <v>3.2</v>
      </c>
      <c r="Q78" s="1214" t="str">
        <f t="shared" si="90"/>
        <v>2.1.4</v>
      </c>
      <c r="R78" s="1214" t="str">
        <f t="shared" si="88"/>
        <v>エネルギーの管理と制御</v>
      </c>
      <c r="S78" s="1287">
        <f t="shared" si="89"/>
        <v>0.5</v>
      </c>
      <c r="T78" s="1287"/>
      <c r="U78" s="1287"/>
      <c r="V78" s="1287"/>
      <c r="W78" s="1287"/>
      <c r="X78" s="1287"/>
      <c r="Y78" s="1287"/>
      <c r="Z78" s="1289"/>
      <c r="AA78" s="1287"/>
      <c r="AB78" s="1288"/>
      <c r="AC78" s="1307"/>
      <c r="AD78" s="1307"/>
      <c r="AE78" s="1269"/>
      <c r="AF78" s="1241" t="s">
        <v>447</v>
      </c>
      <c r="AG78" s="1241" t="s">
        <v>186</v>
      </c>
      <c r="AH78" s="1215" t="s">
        <v>533</v>
      </c>
      <c r="AI78" s="1242">
        <v>0.5</v>
      </c>
      <c r="AJ78" s="1235"/>
      <c r="AK78" s="1235"/>
      <c r="AL78" s="1235"/>
      <c r="AM78" s="1235"/>
      <c r="AN78" s="1235"/>
      <c r="AO78" s="1235"/>
      <c r="AP78" s="1272"/>
      <c r="AQ78" s="1235"/>
      <c r="AR78" s="1235"/>
      <c r="AS78" s="1235"/>
      <c r="AT78" s="1235"/>
      <c r="AU78" s="2621"/>
      <c r="AV78" s="1241" t="s">
        <v>447</v>
      </c>
      <c r="AW78" s="1241" t="s">
        <v>186</v>
      </c>
      <c r="AX78" s="1215" t="s">
        <v>533</v>
      </c>
      <c r="AY78" s="1242">
        <v>0.5</v>
      </c>
    </row>
    <row r="79" spans="1:51" ht="15.6">
      <c r="B79" s="1208" t="s">
        <v>453</v>
      </c>
      <c r="C79" s="1209" t="str">
        <f t="shared" ref="C79:C104" si="91">R79</f>
        <v>資源を大切に使いゴミを減らす</v>
      </c>
      <c r="D79" s="1219">
        <f>IF(I$67=0,0,G79/I$67)</f>
        <v>0.35</v>
      </c>
      <c r="E79" s="1219">
        <f>IF(J$67=0,0,H79/J$67)</f>
        <v>0</v>
      </c>
      <c r="F79" s="1296"/>
      <c r="G79" s="1224">
        <f t="shared" si="81"/>
        <v>0.35</v>
      </c>
      <c r="H79" s="1224">
        <f t="shared" si="79"/>
        <v>0</v>
      </c>
      <c r="I79" s="1224">
        <f>G80+G89+G93</f>
        <v>0.99999999999999989</v>
      </c>
      <c r="J79" s="1224">
        <f>H80+H89+H93</f>
        <v>0</v>
      </c>
      <c r="K79" s="1224">
        <f>IF(スコア!Q79=0,0,1)</f>
        <v>1</v>
      </c>
      <c r="L79" s="1224">
        <f>IF(スコア!R79=0,0,1)</f>
        <v>0</v>
      </c>
      <c r="M79" s="1224">
        <f t="shared" si="85"/>
        <v>0.35</v>
      </c>
      <c r="N79" s="1224">
        <f t="shared" si="86"/>
        <v>0</v>
      </c>
      <c r="O79" s="1280"/>
      <c r="P79" s="1209" t="str">
        <f t="shared" si="87"/>
        <v>LRH2</v>
      </c>
      <c r="Q79" s="1209" t="str">
        <f t="shared" si="90"/>
        <v>2</v>
      </c>
      <c r="R79" s="1281" t="str">
        <f t="shared" si="88"/>
        <v>資源を大切に使いゴミを減らす</v>
      </c>
      <c r="S79" s="1282">
        <f t="shared" si="89"/>
        <v>0.35</v>
      </c>
      <c r="T79" s="1282"/>
      <c r="U79" s="1282"/>
      <c r="V79" s="1282"/>
      <c r="W79" s="1282"/>
      <c r="X79" s="1282"/>
      <c r="Y79" s="1282"/>
      <c r="Z79" s="1317"/>
      <c r="AA79" s="1282"/>
      <c r="AB79" s="1318"/>
      <c r="AC79" s="1319"/>
      <c r="AD79" s="1319"/>
      <c r="AE79" s="1292"/>
      <c r="AF79" s="1208" t="s">
        <v>453</v>
      </c>
      <c r="AG79" s="1249" t="s">
        <v>559</v>
      </c>
      <c r="AH79" s="1209" t="s">
        <v>535</v>
      </c>
      <c r="AI79" s="1238">
        <v>0.35</v>
      </c>
      <c r="AJ79" s="1293"/>
      <c r="AK79" s="1293"/>
      <c r="AL79" s="1293"/>
      <c r="AM79" s="1293"/>
      <c r="AN79" s="1293"/>
      <c r="AO79" s="1293"/>
      <c r="AP79" s="1294"/>
      <c r="AQ79" s="1293"/>
      <c r="AR79" s="1293"/>
      <c r="AS79" s="1293"/>
      <c r="AT79" s="1293"/>
      <c r="AU79" s="1295"/>
      <c r="AV79" s="1208" t="s">
        <v>453</v>
      </c>
      <c r="AW79" s="1249" t="s">
        <v>559</v>
      </c>
      <c r="AX79" s="1209" t="s">
        <v>535</v>
      </c>
      <c r="AY79" s="1238">
        <v>0.35</v>
      </c>
    </row>
    <row r="80" spans="1:51">
      <c r="B80" s="1211">
        <f t="shared" ref="B80:B94" si="92">P80</f>
        <v>1</v>
      </c>
      <c r="C80" s="1212" t="str">
        <f t="shared" si="91"/>
        <v>省資源、廃棄物抑制に役立つ材料の採用</v>
      </c>
      <c r="D80" s="1213">
        <f>IF(I$79=0,0,G80/I$79)</f>
        <v>0.60000000000000009</v>
      </c>
      <c r="E80" s="1213">
        <f>IF(J$79=0,0,H80/J$79)</f>
        <v>0</v>
      </c>
      <c r="F80" s="1296"/>
      <c r="G80" s="1218">
        <f t="shared" si="81"/>
        <v>0.6</v>
      </c>
      <c r="H80" s="1218">
        <f t="shared" si="79"/>
        <v>0</v>
      </c>
      <c r="I80" s="1218">
        <f>G81+G85+G86+G87+G88</f>
        <v>0.99999999999999989</v>
      </c>
      <c r="J80" s="1218">
        <f>H81+H85+H86+H87+H88</f>
        <v>0</v>
      </c>
      <c r="K80" s="1218">
        <f>IF(スコア!M80=0,0,1)</f>
        <v>1</v>
      </c>
      <c r="L80" s="1218">
        <f>IF(スコア!R80=0,0,1)</f>
        <v>0</v>
      </c>
      <c r="M80" s="1218">
        <f t="shared" si="85"/>
        <v>0.6</v>
      </c>
      <c r="N80" s="1218">
        <f t="shared" si="86"/>
        <v>0</v>
      </c>
      <c r="O80" s="1280"/>
      <c r="P80" s="1313">
        <f t="shared" si="87"/>
        <v>1</v>
      </c>
      <c r="Q80" s="1313" t="str">
        <f t="shared" si="90"/>
        <v>2.2</v>
      </c>
      <c r="R80" s="1211" t="str">
        <f t="shared" si="88"/>
        <v>省資源、廃棄物抑制に役立つ材料の採用</v>
      </c>
      <c r="S80" s="1284">
        <f t="shared" si="89"/>
        <v>0.6</v>
      </c>
      <c r="T80" s="1284"/>
      <c r="U80" s="1284"/>
      <c r="V80" s="1284"/>
      <c r="W80" s="1284"/>
      <c r="X80" s="1284"/>
      <c r="Y80" s="1284"/>
      <c r="Z80" s="1300"/>
      <c r="AA80" s="1284"/>
      <c r="AB80" s="1320"/>
      <c r="AC80" s="1321"/>
      <c r="AD80" s="1321"/>
      <c r="AE80" s="1269"/>
      <c r="AF80" s="1247">
        <v>1</v>
      </c>
      <c r="AG80" s="1239" t="s">
        <v>561</v>
      </c>
      <c r="AH80" s="1212" t="s">
        <v>536</v>
      </c>
      <c r="AI80" s="1244">
        <v>0.6</v>
      </c>
      <c r="AJ80" s="1235"/>
      <c r="AK80" s="1235"/>
      <c r="AL80" s="1235"/>
      <c r="AM80" s="1235"/>
      <c r="AN80" s="1235"/>
      <c r="AO80" s="1235"/>
      <c r="AP80" s="1272"/>
      <c r="AQ80" s="1235"/>
      <c r="AR80" s="1235"/>
      <c r="AS80" s="1235"/>
      <c r="AT80" s="1235"/>
      <c r="AU80" s="2621"/>
      <c r="AV80" s="1247">
        <v>1</v>
      </c>
      <c r="AW80" s="1239" t="s">
        <v>561</v>
      </c>
      <c r="AX80" s="1212" t="s">
        <v>536</v>
      </c>
      <c r="AY80" s="1244">
        <v>0.6</v>
      </c>
    </row>
    <row r="81" spans="2:51">
      <c r="B81" s="1214">
        <f t="shared" si="92"/>
        <v>1.1000000000000001</v>
      </c>
      <c r="C81" s="1215" t="str">
        <f t="shared" si="91"/>
        <v>構造躯体</v>
      </c>
      <c r="D81" s="1216">
        <f>IF(I$80=0,0,G81/I$80)</f>
        <v>0.30000000000000004</v>
      </c>
      <c r="E81" s="1216">
        <f>IF(J$80=0,0,H81/J$80)</f>
        <v>0</v>
      </c>
      <c r="F81" s="1296"/>
      <c r="G81" s="1225">
        <f t="shared" si="81"/>
        <v>0.3</v>
      </c>
      <c r="H81" s="1225">
        <f t="shared" si="79"/>
        <v>0</v>
      </c>
      <c r="I81" s="1225">
        <f>G82+G83+G84</f>
        <v>1</v>
      </c>
      <c r="J81" s="1225">
        <f>H82+H83+H84</f>
        <v>0</v>
      </c>
      <c r="K81" s="1225">
        <f>IF(スコア!M81=0,0,1)</f>
        <v>1</v>
      </c>
      <c r="L81" s="1225">
        <f>IF(スコア!R81=0,0,1)</f>
        <v>0</v>
      </c>
      <c r="M81" s="1225">
        <f t="shared" si="85"/>
        <v>0.3</v>
      </c>
      <c r="N81" s="1225">
        <f t="shared" si="86"/>
        <v>0</v>
      </c>
      <c r="O81" s="1262"/>
      <c r="P81" s="1214">
        <f t="shared" si="87"/>
        <v>1.1000000000000001</v>
      </c>
      <c r="Q81" s="1214" t="str">
        <f t="shared" si="90"/>
        <v>2.2.1</v>
      </c>
      <c r="R81" s="1214" t="str">
        <f t="shared" si="88"/>
        <v>構造躯体</v>
      </c>
      <c r="S81" s="1287">
        <f t="shared" si="89"/>
        <v>0.3</v>
      </c>
      <c r="T81" s="1287"/>
      <c r="U81" s="1287"/>
      <c r="V81" s="1287"/>
      <c r="W81" s="1287"/>
      <c r="X81" s="1287"/>
      <c r="Y81" s="1287"/>
      <c r="Z81" s="1289"/>
      <c r="AA81" s="1287"/>
      <c r="AB81" s="1322"/>
      <c r="AC81" s="1323"/>
      <c r="AD81" s="1323"/>
      <c r="AE81" s="1269"/>
      <c r="AF81" s="1241">
        <v>1.1000000000000001</v>
      </c>
      <c r="AG81" s="1241" t="s">
        <v>871</v>
      </c>
      <c r="AH81" s="1215" t="s">
        <v>537</v>
      </c>
      <c r="AI81" s="1242">
        <v>0.3</v>
      </c>
      <c r="AJ81" s="1235"/>
      <c r="AK81" s="1235"/>
      <c r="AL81" s="1235"/>
      <c r="AM81" s="1235"/>
      <c r="AN81" s="1235"/>
      <c r="AO81" s="1235"/>
      <c r="AP81" s="1272"/>
      <c r="AQ81" s="1235"/>
      <c r="AR81" s="1235"/>
      <c r="AS81" s="1235"/>
      <c r="AT81" s="1235"/>
      <c r="AU81" s="2621"/>
      <c r="AV81" s="1241">
        <v>1.1000000000000001</v>
      </c>
      <c r="AW81" s="1241" t="s">
        <v>871</v>
      </c>
      <c r="AX81" s="1215" t="s">
        <v>537</v>
      </c>
      <c r="AY81" s="1242">
        <v>0.3</v>
      </c>
    </row>
    <row r="82" spans="2:51">
      <c r="B82" s="1214" t="str">
        <f t="shared" si="92"/>
        <v>1.1.1</v>
      </c>
      <c r="C82" s="1215" t="str">
        <f t="shared" si="91"/>
        <v>木質系住宅</v>
      </c>
      <c r="D82" s="1216">
        <f>IF(I$81=0,0,G82/I$81)</f>
        <v>1</v>
      </c>
      <c r="E82" s="1216">
        <f>IF(J$81=0,0,H82/J$81)</f>
        <v>0</v>
      </c>
      <c r="F82" s="1296"/>
      <c r="G82" s="1225">
        <f t="shared" si="81"/>
        <v>1</v>
      </c>
      <c r="H82" s="1225">
        <f t="shared" si="79"/>
        <v>0</v>
      </c>
      <c r="I82" s="1225"/>
      <c r="J82" s="1225"/>
      <c r="K82" s="1225">
        <f>IF(スコア!M82=0,0,1)</f>
        <v>1</v>
      </c>
      <c r="L82" s="1225">
        <f>IF(スコア!R82=0,0,1)</f>
        <v>0</v>
      </c>
      <c r="M82" s="1225">
        <f t="shared" si="85"/>
        <v>1</v>
      </c>
      <c r="N82" s="1225">
        <f t="shared" si="86"/>
        <v>0</v>
      </c>
      <c r="O82" s="1262"/>
      <c r="P82" s="1214" t="str">
        <f t="shared" si="87"/>
        <v>1.1.1</v>
      </c>
      <c r="Q82" s="1214" t="str">
        <f t="shared" si="90"/>
        <v>2.2.1.1</v>
      </c>
      <c r="R82" s="1214" t="str">
        <f t="shared" ref="R82:R104" si="93">IF($P$3=1,AH82,AX82)</f>
        <v>木質系住宅</v>
      </c>
      <c r="S82" s="1287">
        <f>IF($P$3=1,AI82,AY82)*S106</f>
        <v>1</v>
      </c>
      <c r="T82" s="1287"/>
      <c r="U82" s="1287"/>
      <c r="V82" s="1287"/>
      <c r="W82" s="1287"/>
      <c r="X82" s="1287"/>
      <c r="Y82" s="1287"/>
      <c r="Z82" s="1289"/>
      <c r="AA82" s="1287"/>
      <c r="AB82" s="1322"/>
      <c r="AC82" s="1323"/>
      <c r="AD82" s="1323"/>
      <c r="AE82" s="1269"/>
      <c r="AF82" s="1241" t="s">
        <v>492</v>
      </c>
      <c r="AG82" s="1241" t="s">
        <v>562</v>
      </c>
      <c r="AH82" s="1215" t="s">
        <v>538</v>
      </c>
      <c r="AI82" s="1242">
        <v>1</v>
      </c>
      <c r="AJ82" s="1235"/>
      <c r="AK82" s="1235"/>
      <c r="AL82" s="1235"/>
      <c r="AM82" s="1235"/>
      <c r="AN82" s="1235"/>
      <c r="AO82" s="1235"/>
      <c r="AP82" s="1272"/>
      <c r="AQ82" s="1235"/>
      <c r="AR82" s="1235"/>
      <c r="AS82" s="1235"/>
      <c r="AT82" s="1235"/>
      <c r="AU82" s="2621"/>
      <c r="AV82" s="1241" t="s">
        <v>492</v>
      </c>
      <c r="AW82" s="1241" t="s">
        <v>562</v>
      </c>
      <c r="AX82" s="1215" t="s">
        <v>2079</v>
      </c>
      <c r="AY82" s="1242">
        <v>1</v>
      </c>
    </row>
    <row r="83" spans="2:51">
      <c r="B83" s="1214" t="str">
        <f t="shared" si="92"/>
        <v>1.1.2</v>
      </c>
      <c r="C83" s="1215" t="str">
        <f t="shared" si="91"/>
        <v>鉄骨系住宅</v>
      </c>
      <c r="D83" s="1216">
        <f>IF(I$81=0,0,G83/I$81)</f>
        <v>0</v>
      </c>
      <c r="E83" s="1216">
        <f t="shared" ref="E83:E84" si="94">IF(J$81=0,0,H83/J$81)</f>
        <v>0</v>
      </c>
      <c r="F83" s="1296"/>
      <c r="G83" s="1225">
        <f t="shared" si="81"/>
        <v>0</v>
      </c>
      <c r="H83" s="1225">
        <f t="shared" si="79"/>
        <v>0</v>
      </c>
      <c r="I83" s="1225"/>
      <c r="J83" s="1225"/>
      <c r="K83" s="1225">
        <f>IF(スコア!M83=0,0,1)</f>
        <v>1</v>
      </c>
      <c r="L83" s="1225">
        <f>IF(スコア!R83=0,0,1)</f>
        <v>0</v>
      </c>
      <c r="M83" s="1225">
        <f t="shared" si="85"/>
        <v>0</v>
      </c>
      <c r="N83" s="1225">
        <f t="shared" si="86"/>
        <v>0</v>
      </c>
      <c r="O83" s="1262"/>
      <c r="P83" s="1214" t="str">
        <f t="shared" si="87"/>
        <v>1.1.2</v>
      </c>
      <c r="Q83" s="1214" t="str">
        <f t="shared" si="90"/>
        <v>2.2.1.1</v>
      </c>
      <c r="R83" s="1214" t="str">
        <f t="shared" si="93"/>
        <v>鉄骨系住宅</v>
      </c>
      <c r="S83" s="1287">
        <f>IF($P$3=1,AI83,AY83)*S107</f>
        <v>0</v>
      </c>
      <c r="T83" s="1287"/>
      <c r="U83" s="1287"/>
      <c r="V83" s="1287"/>
      <c r="W83" s="1287"/>
      <c r="X83" s="1287"/>
      <c r="Y83" s="1287"/>
      <c r="Z83" s="1289"/>
      <c r="AA83" s="1287"/>
      <c r="AB83" s="1322"/>
      <c r="AC83" s="1323"/>
      <c r="AD83" s="1323"/>
      <c r="AE83" s="1269"/>
      <c r="AF83" s="1241" t="s">
        <v>493</v>
      </c>
      <c r="AG83" s="1241" t="s">
        <v>562</v>
      </c>
      <c r="AH83" s="1215" t="s">
        <v>539</v>
      </c>
      <c r="AI83" s="1250">
        <v>1</v>
      </c>
      <c r="AJ83" s="1235"/>
      <c r="AK83" s="1235"/>
      <c r="AL83" s="1235"/>
      <c r="AM83" s="1235"/>
      <c r="AN83" s="1235"/>
      <c r="AO83" s="1235"/>
      <c r="AP83" s="1272"/>
      <c r="AQ83" s="1235"/>
      <c r="AR83" s="1235"/>
      <c r="AS83" s="1235"/>
      <c r="AT83" s="1235"/>
      <c r="AU83" s="2621"/>
      <c r="AV83" s="1241" t="s">
        <v>493</v>
      </c>
      <c r="AW83" s="1241" t="s">
        <v>562</v>
      </c>
      <c r="AX83" s="1215" t="s">
        <v>2080</v>
      </c>
      <c r="AY83" s="1250">
        <v>1</v>
      </c>
    </row>
    <row r="84" spans="2:51">
      <c r="B84" s="1214" t="str">
        <f t="shared" si="92"/>
        <v>1.1.3</v>
      </c>
      <c r="C84" s="1215" t="str">
        <f t="shared" si="91"/>
        <v>コンクリート系住宅</v>
      </c>
      <c r="D84" s="1216">
        <f>IF(I$81=0,0,G84/I$81)</f>
        <v>0</v>
      </c>
      <c r="E84" s="1216">
        <f t="shared" si="94"/>
        <v>0</v>
      </c>
      <c r="F84" s="1296"/>
      <c r="G84" s="1225">
        <f t="shared" si="81"/>
        <v>0</v>
      </c>
      <c r="H84" s="1225">
        <f t="shared" si="79"/>
        <v>0</v>
      </c>
      <c r="I84" s="1225"/>
      <c r="J84" s="1225"/>
      <c r="K84" s="1225">
        <f>IF(スコア!M84=0,0,1)</f>
        <v>1</v>
      </c>
      <c r="L84" s="1225">
        <f>IF(スコア!R84=0,0,1)</f>
        <v>0</v>
      </c>
      <c r="M84" s="1225">
        <f t="shared" si="85"/>
        <v>0</v>
      </c>
      <c r="N84" s="1225">
        <f t="shared" si="86"/>
        <v>0</v>
      </c>
      <c r="O84" s="1262"/>
      <c r="P84" s="1214" t="str">
        <f t="shared" si="87"/>
        <v>1.1.3</v>
      </c>
      <c r="Q84" s="1214" t="str">
        <f t="shared" si="90"/>
        <v>2.2.1.1</v>
      </c>
      <c r="R84" s="1214" t="str">
        <f t="shared" si="93"/>
        <v>コンクリート系住宅</v>
      </c>
      <c r="S84" s="1287">
        <f>IF($P$3=1,AI84,AY84)*S108</f>
        <v>0</v>
      </c>
      <c r="T84" s="1287"/>
      <c r="U84" s="1287"/>
      <c r="V84" s="1287"/>
      <c r="W84" s="1287"/>
      <c r="X84" s="1287"/>
      <c r="Y84" s="1287"/>
      <c r="Z84" s="1289"/>
      <c r="AA84" s="1287"/>
      <c r="AB84" s="1322"/>
      <c r="AC84" s="1323"/>
      <c r="AD84" s="1323"/>
      <c r="AE84" s="1269"/>
      <c r="AF84" s="1241" t="s">
        <v>554</v>
      </c>
      <c r="AG84" s="1241" t="s">
        <v>562</v>
      </c>
      <c r="AH84" s="1215" t="s">
        <v>540</v>
      </c>
      <c r="AI84" s="1242">
        <v>1</v>
      </c>
      <c r="AJ84" s="1235"/>
      <c r="AK84" s="1235"/>
      <c r="AL84" s="1235"/>
      <c r="AM84" s="1235"/>
      <c r="AN84" s="1235"/>
      <c r="AO84" s="1235"/>
      <c r="AP84" s="1272"/>
      <c r="AQ84" s="1235"/>
      <c r="AR84" s="1235"/>
      <c r="AS84" s="1235"/>
      <c r="AT84" s="1235"/>
      <c r="AU84" s="2621"/>
      <c r="AV84" s="1241" t="s">
        <v>554</v>
      </c>
      <c r="AW84" s="1241" t="s">
        <v>562</v>
      </c>
      <c r="AX84" s="1215" t="s">
        <v>2081</v>
      </c>
      <c r="AY84" s="1242">
        <v>1</v>
      </c>
    </row>
    <row r="85" spans="2:51">
      <c r="B85" s="1214">
        <f t="shared" si="92"/>
        <v>1.2</v>
      </c>
      <c r="C85" s="1215" t="str">
        <f t="shared" si="91"/>
        <v>地盤補強材・地業・基礎</v>
      </c>
      <c r="D85" s="1216">
        <f>IF(I$80=0,0,G85/I$80)</f>
        <v>0.20000000000000004</v>
      </c>
      <c r="E85" s="1216">
        <f>IF(J$80=0,0,H85/J$80)</f>
        <v>0</v>
      </c>
      <c r="F85" s="1296"/>
      <c r="G85" s="1225">
        <f t="shared" si="81"/>
        <v>0.2</v>
      </c>
      <c r="H85" s="1225">
        <f t="shared" si="79"/>
        <v>0</v>
      </c>
      <c r="I85" s="1225"/>
      <c r="J85" s="1225"/>
      <c r="K85" s="1225">
        <f>IF(スコア!M85=0,0,1)</f>
        <v>1</v>
      </c>
      <c r="L85" s="1225">
        <f>IF(スコア!R85=0,0,1)</f>
        <v>0</v>
      </c>
      <c r="M85" s="1225">
        <f t="shared" si="85"/>
        <v>0.2</v>
      </c>
      <c r="N85" s="1225">
        <f t="shared" si="86"/>
        <v>0</v>
      </c>
      <c r="O85" s="1262"/>
      <c r="P85" s="1314">
        <f t="shared" si="87"/>
        <v>1.2</v>
      </c>
      <c r="Q85" s="1314" t="str">
        <f t="shared" si="90"/>
        <v>2.2.1</v>
      </c>
      <c r="R85" s="1214" t="str">
        <f t="shared" si="93"/>
        <v>地盤補強材・地業・基礎</v>
      </c>
      <c r="S85" s="1287">
        <f t="shared" ref="S85:S104" si="95">IF($P$3=1,AI85,AY85)</f>
        <v>0.2</v>
      </c>
      <c r="T85" s="1287"/>
      <c r="U85" s="1287"/>
      <c r="V85" s="1287"/>
      <c r="W85" s="1287"/>
      <c r="X85" s="1287"/>
      <c r="Y85" s="1287"/>
      <c r="Z85" s="1289"/>
      <c r="AA85" s="1287"/>
      <c r="AB85" s="1322"/>
      <c r="AC85" s="1323"/>
      <c r="AD85" s="1323"/>
      <c r="AE85" s="1269"/>
      <c r="AF85" s="1248">
        <v>1.2</v>
      </c>
      <c r="AG85" s="1241" t="s">
        <v>871</v>
      </c>
      <c r="AH85" s="1215" t="s">
        <v>541</v>
      </c>
      <c r="AI85" s="1242">
        <v>0.2</v>
      </c>
      <c r="AJ85" s="1235"/>
      <c r="AK85" s="1235"/>
      <c r="AL85" s="1235"/>
      <c r="AM85" s="1235"/>
      <c r="AN85" s="1235"/>
      <c r="AO85" s="1235"/>
      <c r="AP85" s="1272"/>
      <c r="AQ85" s="1235"/>
      <c r="AR85" s="1235"/>
      <c r="AS85" s="1235"/>
      <c r="AT85" s="1235"/>
      <c r="AU85" s="2621"/>
      <c r="AV85" s="1248">
        <v>1.2</v>
      </c>
      <c r="AW85" s="1241" t="s">
        <v>871</v>
      </c>
      <c r="AX85" s="1215" t="s">
        <v>541</v>
      </c>
      <c r="AY85" s="1242">
        <v>0.2</v>
      </c>
    </row>
    <row r="86" spans="2:51">
      <c r="B86" s="1214">
        <f t="shared" si="92"/>
        <v>1.3</v>
      </c>
      <c r="C86" s="1214" t="str">
        <f t="shared" si="91"/>
        <v>外装材</v>
      </c>
      <c r="D86" s="1220">
        <f>IF(I$80=0,0,G86/I$80)</f>
        <v>0.20000000000000004</v>
      </c>
      <c r="E86" s="1220">
        <f t="shared" ref="E86:E87" si="96">IF(J$80=0,0,H86/J$80)</f>
        <v>0</v>
      </c>
      <c r="F86" s="1296"/>
      <c r="G86" s="1225">
        <f t="shared" si="81"/>
        <v>0.2</v>
      </c>
      <c r="H86" s="1225">
        <f t="shared" si="79"/>
        <v>0</v>
      </c>
      <c r="I86" s="1225"/>
      <c r="J86" s="1225"/>
      <c r="K86" s="1225">
        <f>IF(スコア!M86=0,0,1)</f>
        <v>1</v>
      </c>
      <c r="L86" s="1225">
        <f>IF(スコア!R86=0,0,1)</f>
        <v>0</v>
      </c>
      <c r="M86" s="1225">
        <f t="shared" si="85"/>
        <v>0.2</v>
      </c>
      <c r="N86" s="1225">
        <f t="shared" si="86"/>
        <v>0</v>
      </c>
      <c r="O86" s="1262"/>
      <c r="P86" s="1214">
        <f t="shared" si="87"/>
        <v>1.3</v>
      </c>
      <c r="Q86" s="1214" t="str">
        <f t="shared" si="90"/>
        <v>2.2.1</v>
      </c>
      <c r="R86" s="1214" t="str">
        <f t="shared" si="93"/>
        <v>外装材</v>
      </c>
      <c r="S86" s="1287">
        <f t="shared" si="95"/>
        <v>0.2</v>
      </c>
      <c r="T86" s="1287"/>
      <c r="U86" s="1287"/>
      <c r="V86" s="1287"/>
      <c r="W86" s="1287"/>
      <c r="X86" s="1287"/>
      <c r="Y86" s="1287"/>
      <c r="Z86" s="1289"/>
      <c r="AA86" s="1287"/>
      <c r="AB86" s="1322"/>
      <c r="AC86" s="1323"/>
      <c r="AD86" s="1323"/>
      <c r="AE86" s="1269"/>
      <c r="AF86" s="1241">
        <v>1.3</v>
      </c>
      <c r="AG86" s="1241" t="s">
        <v>871</v>
      </c>
      <c r="AH86" s="1215" t="s">
        <v>542</v>
      </c>
      <c r="AI86" s="1242">
        <v>0.2</v>
      </c>
      <c r="AJ86" s="1235"/>
      <c r="AK86" s="1235"/>
      <c r="AL86" s="1235"/>
      <c r="AM86" s="1235"/>
      <c r="AN86" s="1235"/>
      <c r="AO86" s="1235"/>
      <c r="AP86" s="1272"/>
      <c r="AQ86" s="1235"/>
      <c r="AR86" s="1235"/>
      <c r="AS86" s="1235"/>
      <c r="AT86" s="1235"/>
      <c r="AU86" s="2621"/>
      <c r="AV86" s="1241">
        <v>1.3</v>
      </c>
      <c r="AW86" s="1241" t="s">
        <v>871</v>
      </c>
      <c r="AX86" s="1215" t="s">
        <v>542</v>
      </c>
      <c r="AY86" s="1242">
        <v>0.2</v>
      </c>
    </row>
    <row r="87" spans="2:51">
      <c r="B87" s="1214">
        <f t="shared" si="92"/>
        <v>1.4</v>
      </c>
      <c r="C87" s="1215" t="str">
        <f t="shared" si="91"/>
        <v>内装材</v>
      </c>
      <c r="D87" s="1220">
        <f>IF(I$80=0,0,G87/I$80)</f>
        <v>0.20000000000000004</v>
      </c>
      <c r="E87" s="1220">
        <f t="shared" si="96"/>
        <v>0</v>
      </c>
      <c r="F87" s="1296"/>
      <c r="G87" s="1225">
        <f t="shared" si="81"/>
        <v>0.2</v>
      </c>
      <c r="H87" s="1225">
        <f t="shared" si="79"/>
        <v>0</v>
      </c>
      <c r="I87" s="1225"/>
      <c r="J87" s="1225"/>
      <c r="K87" s="1225">
        <f>IF(スコア!M87=0,0,1)</f>
        <v>1</v>
      </c>
      <c r="L87" s="1225">
        <f>IF(スコア!R87=0,0,1)</f>
        <v>0</v>
      </c>
      <c r="M87" s="1225">
        <f t="shared" si="85"/>
        <v>0.2</v>
      </c>
      <c r="N87" s="1225">
        <f t="shared" si="86"/>
        <v>0</v>
      </c>
      <c r="O87" s="1262"/>
      <c r="P87" s="1214">
        <f t="shared" si="87"/>
        <v>1.4</v>
      </c>
      <c r="Q87" s="1214" t="str">
        <f t="shared" si="90"/>
        <v>2.2.1</v>
      </c>
      <c r="R87" s="1214" t="str">
        <f t="shared" si="93"/>
        <v>内装材</v>
      </c>
      <c r="S87" s="1287">
        <f t="shared" si="95"/>
        <v>0.2</v>
      </c>
      <c r="T87" s="1287"/>
      <c r="U87" s="1287"/>
      <c r="V87" s="1287"/>
      <c r="W87" s="1287"/>
      <c r="X87" s="1287"/>
      <c r="Y87" s="1287"/>
      <c r="Z87" s="1289"/>
      <c r="AA87" s="1287"/>
      <c r="AB87" s="1322"/>
      <c r="AC87" s="1323"/>
      <c r="AD87" s="1323"/>
      <c r="AE87" s="1269"/>
      <c r="AF87" s="1241">
        <v>1.4</v>
      </c>
      <c r="AG87" s="1241" t="s">
        <v>871</v>
      </c>
      <c r="AH87" s="1215" t="s">
        <v>543</v>
      </c>
      <c r="AI87" s="1242">
        <v>0.2</v>
      </c>
      <c r="AJ87" s="1235"/>
      <c r="AK87" s="1235"/>
      <c r="AL87" s="1235"/>
      <c r="AM87" s="1235"/>
      <c r="AN87" s="1235"/>
      <c r="AO87" s="1235"/>
      <c r="AP87" s="1272"/>
      <c r="AQ87" s="1235"/>
      <c r="AR87" s="1235"/>
      <c r="AS87" s="1235"/>
      <c r="AT87" s="1235"/>
      <c r="AU87" s="2621"/>
      <c r="AV87" s="1241">
        <v>1.4</v>
      </c>
      <c r="AW87" s="1241" t="s">
        <v>871</v>
      </c>
      <c r="AX87" s="1215" t="s">
        <v>543</v>
      </c>
      <c r="AY87" s="1242">
        <v>0.2</v>
      </c>
    </row>
    <row r="88" spans="2:51">
      <c r="B88" s="1214">
        <f t="shared" si="92"/>
        <v>1.5</v>
      </c>
      <c r="C88" s="1215" t="str">
        <f t="shared" si="91"/>
        <v>外構材</v>
      </c>
      <c r="D88" s="1220">
        <f>IF(I$80=0,0,G88/I$80)</f>
        <v>0.10000000000000002</v>
      </c>
      <c r="E88" s="1220">
        <f>IF(J$80=0,0,H88/J$80)</f>
        <v>0</v>
      </c>
      <c r="F88" s="1296"/>
      <c r="G88" s="1225">
        <f t="shared" si="81"/>
        <v>0.1</v>
      </c>
      <c r="H88" s="1225">
        <f t="shared" si="79"/>
        <v>0</v>
      </c>
      <c r="I88" s="1225"/>
      <c r="J88" s="1225"/>
      <c r="K88" s="1225">
        <f>IF(スコア!M88=0,0,1)</f>
        <v>1</v>
      </c>
      <c r="L88" s="1225">
        <f>IF(スコア!R88=0,0,1)</f>
        <v>0</v>
      </c>
      <c r="M88" s="1225">
        <f t="shared" si="85"/>
        <v>0.1</v>
      </c>
      <c r="N88" s="1225">
        <f t="shared" si="86"/>
        <v>0</v>
      </c>
      <c r="O88" s="1262"/>
      <c r="P88" s="1214">
        <f t="shared" si="87"/>
        <v>1.5</v>
      </c>
      <c r="Q88" s="1214" t="str">
        <f t="shared" si="90"/>
        <v>2.2.1</v>
      </c>
      <c r="R88" s="1214" t="str">
        <f t="shared" si="93"/>
        <v>外構材</v>
      </c>
      <c r="S88" s="1287">
        <f t="shared" si="95"/>
        <v>0.1</v>
      </c>
      <c r="T88" s="1287"/>
      <c r="U88" s="1287"/>
      <c r="V88" s="1287"/>
      <c r="W88" s="1287"/>
      <c r="X88" s="1287"/>
      <c r="Y88" s="1287"/>
      <c r="Z88" s="1289"/>
      <c r="AA88" s="1287"/>
      <c r="AB88" s="1322"/>
      <c r="AC88" s="1323"/>
      <c r="AD88" s="1323"/>
      <c r="AE88" s="1269"/>
      <c r="AF88" s="1241">
        <v>1.5</v>
      </c>
      <c r="AG88" s="1241" t="s">
        <v>871</v>
      </c>
      <c r="AH88" s="1215" t="s">
        <v>544</v>
      </c>
      <c r="AI88" s="1242">
        <v>0.1</v>
      </c>
      <c r="AJ88" s="1235"/>
      <c r="AK88" s="1235"/>
      <c r="AL88" s="1235"/>
      <c r="AM88" s="1235"/>
      <c r="AN88" s="1235"/>
      <c r="AO88" s="1235"/>
      <c r="AP88" s="1272"/>
      <c r="AQ88" s="1235"/>
      <c r="AR88" s="1235"/>
      <c r="AS88" s="1235"/>
      <c r="AT88" s="1235"/>
      <c r="AU88" s="2621"/>
      <c r="AV88" s="1241">
        <v>1.5</v>
      </c>
      <c r="AW88" s="1241" t="s">
        <v>871</v>
      </c>
      <c r="AX88" s="1215" t="s">
        <v>544</v>
      </c>
      <c r="AY88" s="1242">
        <v>0.1</v>
      </c>
    </row>
    <row r="89" spans="2:51">
      <c r="B89" s="1211">
        <f t="shared" si="92"/>
        <v>2</v>
      </c>
      <c r="C89" s="1212" t="str">
        <f t="shared" si="91"/>
        <v>生産・施工段階における廃棄物削減等の環境配慮</v>
      </c>
      <c r="D89" s="1213">
        <f>IF(I$79=0,0,G89/I$79)</f>
        <v>0.30000000000000004</v>
      </c>
      <c r="E89" s="1213">
        <f>IF(J$79=0,0,H89/J$79)</f>
        <v>0</v>
      </c>
      <c r="F89" s="1296"/>
      <c r="G89" s="1218">
        <f t="shared" si="81"/>
        <v>0.3</v>
      </c>
      <c r="H89" s="1218">
        <f t="shared" ref="H89:H97" si="97">L89*((AB$7*AB89)+(AC$7*AC89)+(AD$7*AD89))</f>
        <v>0</v>
      </c>
      <c r="I89" s="1218">
        <f>G90+G91+G92</f>
        <v>1</v>
      </c>
      <c r="J89" s="1218">
        <f>H90+H91+H92</f>
        <v>0</v>
      </c>
      <c r="K89" s="1218">
        <f>IF(スコア!M89=0,0,1)</f>
        <v>1</v>
      </c>
      <c r="L89" s="1218">
        <f>IF(スコア!R89=0,0,1)</f>
        <v>0</v>
      </c>
      <c r="M89" s="1218">
        <f t="shared" si="85"/>
        <v>0.3</v>
      </c>
      <c r="N89" s="1218">
        <f t="shared" si="86"/>
        <v>0</v>
      </c>
      <c r="O89" s="1280"/>
      <c r="P89" s="1211">
        <f t="shared" si="87"/>
        <v>2</v>
      </c>
      <c r="Q89" s="1211" t="str">
        <f t="shared" si="90"/>
        <v>2.2</v>
      </c>
      <c r="R89" s="1211" t="str">
        <f t="shared" si="93"/>
        <v>生産・施工段階における廃棄物削減等の環境配慮</v>
      </c>
      <c r="S89" s="1284">
        <f t="shared" si="95"/>
        <v>0.3</v>
      </c>
      <c r="T89" s="1284"/>
      <c r="U89" s="1284"/>
      <c r="V89" s="1284"/>
      <c r="W89" s="1284"/>
      <c r="X89" s="1284"/>
      <c r="Y89" s="1284"/>
      <c r="Z89" s="1300"/>
      <c r="AA89" s="1284"/>
      <c r="AB89" s="1320"/>
      <c r="AC89" s="1321"/>
      <c r="AD89" s="1321"/>
      <c r="AE89" s="1269"/>
      <c r="AF89" s="1239">
        <v>2</v>
      </c>
      <c r="AG89" s="1239" t="s">
        <v>561</v>
      </c>
      <c r="AH89" s="1212" t="s">
        <v>1711</v>
      </c>
      <c r="AI89" s="1244">
        <v>0.3</v>
      </c>
      <c r="AJ89" s="1235"/>
      <c r="AK89" s="1235"/>
      <c r="AL89" s="1235"/>
      <c r="AM89" s="1235"/>
      <c r="AN89" s="1235"/>
      <c r="AO89" s="1235"/>
      <c r="AP89" s="1272"/>
      <c r="AQ89" s="1235"/>
      <c r="AR89" s="1235"/>
      <c r="AS89" s="1235"/>
      <c r="AT89" s="1235"/>
      <c r="AU89" s="2621"/>
      <c r="AV89" s="1239">
        <v>2</v>
      </c>
      <c r="AW89" s="1239" t="s">
        <v>561</v>
      </c>
      <c r="AX89" s="1212" t="s">
        <v>1711</v>
      </c>
      <c r="AY89" s="1244">
        <v>0.3</v>
      </c>
    </row>
    <row r="90" spans="2:51">
      <c r="B90" s="1214">
        <f t="shared" si="92"/>
        <v>2.1</v>
      </c>
      <c r="C90" s="1215" t="str">
        <f t="shared" si="91"/>
        <v>生産段階（構造躯体用部材）</v>
      </c>
      <c r="D90" s="1216">
        <f>IF(I$89=0,0,G90/I$89)</f>
        <v>0.33333333333333331</v>
      </c>
      <c r="E90" s="1216">
        <f t="shared" ref="E90:E92" si="98">IF(J$89=0,0,H90/J$89)</f>
        <v>0</v>
      </c>
      <c r="F90" s="1296"/>
      <c r="G90" s="1225">
        <f t="shared" si="81"/>
        <v>0.33333333333333331</v>
      </c>
      <c r="H90" s="1225">
        <f>L90*((AB$7*AB90)+(AC$7*AC90)+(AD$7*AD90))</f>
        <v>0</v>
      </c>
      <c r="I90" s="1225"/>
      <c r="J90" s="1225"/>
      <c r="K90" s="1225">
        <f>IF(スコア!M90=0,0,1)</f>
        <v>1</v>
      </c>
      <c r="L90" s="1225">
        <f>IF(スコア!R90=0,0,1)</f>
        <v>0</v>
      </c>
      <c r="M90" s="1225">
        <f t="shared" si="85"/>
        <v>0.33333333333333331</v>
      </c>
      <c r="N90" s="1225">
        <f t="shared" si="86"/>
        <v>0</v>
      </c>
      <c r="O90" s="1262"/>
      <c r="P90" s="1214">
        <f t="shared" si="87"/>
        <v>2.1</v>
      </c>
      <c r="Q90" s="1214" t="str">
        <f t="shared" si="90"/>
        <v>2.2.2</v>
      </c>
      <c r="R90" s="1214" t="str">
        <f t="shared" si="93"/>
        <v>生産段階（構造躯体用部材）</v>
      </c>
      <c r="S90" s="1287">
        <f t="shared" si="95"/>
        <v>0.33333333333333331</v>
      </c>
      <c r="T90" s="1287"/>
      <c r="U90" s="1287"/>
      <c r="V90" s="1287"/>
      <c r="W90" s="1287"/>
      <c r="X90" s="1287"/>
      <c r="Y90" s="1287"/>
      <c r="Z90" s="1289"/>
      <c r="AA90" s="1287"/>
      <c r="AB90" s="1322"/>
      <c r="AC90" s="1323"/>
      <c r="AD90" s="1323"/>
      <c r="AE90" s="1269"/>
      <c r="AF90" s="1241">
        <v>2.1</v>
      </c>
      <c r="AG90" s="1241" t="s">
        <v>872</v>
      </c>
      <c r="AH90" s="1215" t="s">
        <v>573</v>
      </c>
      <c r="AI90" s="1242">
        <v>0.33333333333333331</v>
      </c>
      <c r="AJ90" s="1235"/>
      <c r="AK90" s="1235"/>
      <c r="AL90" s="1235"/>
      <c r="AM90" s="1235"/>
      <c r="AN90" s="1235"/>
      <c r="AO90" s="1235"/>
      <c r="AP90" s="1272"/>
      <c r="AQ90" s="1235"/>
      <c r="AR90" s="1235"/>
      <c r="AS90" s="1235"/>
      <c r="AT90" s="1235"/>
      <c r="AU90" s="2621"/>
      <c r="AV90" s="1241">
        <v>2.1</v>
      </c>
      <c r="AW90" s="1241" t="s">
        <v>872</v>
      </c>
      <c r="AX90" s="1215" t="s">
        <v>573</v>
      </c>
      <c r="AY90" s="1242">
        <v>0.33333333333333331</v>
      </c>
    </row>
    <row r="91" spans="2:51">
      <c r="B91" s="1214">
        <f t="shared" si="92"/>
        <v>2.2000000000000002</v>
      </c>
      <c r="C91" s="1215" t="str">
        <f t="shared" si="91"/>
        <v>生産段階（構造躯体用以外の部材）</v>
      </c>
      <c r="D91" s="1216">
        <f>IF(I$89=0,0,G91/I$89)</f>
        <v>0.33333333333333331</v>
      </c>
      <c r="E91" s="1216">
        <f t="shared" si="98"/>
        <v>0</v>
      </c>
      <c r="F91" s="1315"/>
      <c r="G91" s="1225">
        <f t="shared" si="81"/>
        <v>0.33333333333333331</v>
      </c>
      <c r="H91" s="1225">
        <f t="shared" si="97"/>
        <v>0</v>
      </c>
      <c r="I91" s="1225"/>
      <c r="J91" s="1225"/>
      <c r="K91" s="1225">
        <f>IF(スコア!M91=0,0,1)</f>
        <v>1</v>
      </c>
      <c r="L91" s="1225">
        <f>IF(スコア!R91=0,0,1)</f>
        <v>0</v>
      </c>
      <c r="M91" s="1225">
        <f t="shared" si="85"/>
        <v>0.33333333333333331</v>
      </c>
      <c r="N91" s="1225">
        <f t="shared" si="86"/>
        <v>0</v>
      </c>
      <c r="O91" s="1262"/>
      <c r="P91" s="1214">
        <f t="shared" si="87"/>
        <v>2.2000000000000002</v>
      </c>
      <c r="Q91" s="1214" t="str">
        <f t="shared" si="90"/>
        <v>2.2.2</v>
      </c>
      <c r="R91" s="1214" t="str">
        <f t="shared" si="93"/>
        <v>生産段階（構造躯体用以外の部材）</v>
      </c>
      <c r="S91" s="1287">
        <f t="shared" si="95"/>
        <v>0.33333333333333331</v>
      </c>
      <c r="T91" s="1287"/>
      <c r="U91" s="1287"/>
      <c r="V91" s="1287"/>
      <c r="W91" s="1287"/>
      <c r="X91" s="1287"/>
      <c r="Y91" s="1287"/>
      <c r="Z91" s="1289"/>
      <c r="AA91" s="1287"/>
      <c r="AB91" s="1322"/>
      <c r="AC91" s="1323"/>
      <c r="AD91" s="1323"/>
      <c r="AE91" s="1269"/>
      <c r="AF91" s="1241">
        <v>2.2000000000000002</v>
      </c>
      <c r="AG91" s="1241" t="s">
        <v>872</v>
      </c>
      <c r="AH91" s="1215" t="s">
        <v>572</v>
      </c>
      <c r="AI91" s="1242">
        <v>0.33333333333333331</v>
      </c>
      <c r="AJ91" s="1235"/>
      <c r="AK91" s="1235"/>
      <c r="AL91" s="1235"/>
      <c r="AM91" s="1235"/>
      <c r="AN91" s="1235"/>
      <c r="AO91" s="1235"/>
      <c r="AP91" s="1272"/>
      <c r="AQ91" s="1235"/>
      <c r="AR91" s="1235"/>
      <c r="AS91" s="1235"/>
      <c r="AT91" s="1235"/>
      <c r="AU91" s="2621"/>
      <c r="AV91" s="1241">
        <v>2.2000000000000002</v>
      </c>
      <c r="AW91" s="1241" t="s">
        <v>872</v>
      </c>
      <c r="AX91" s="1215" t="s">
        <v>572</v>
      </c>
      <c r="AY91" s="1242">
        <v>0.33333333333333331</v>
      </c>
    </row>
    <row r="92" spans="2:51">
      <c r="B92" s="1214">
        <f t="shared" si="92"/>
        <v>2.2999999999999998</v>
      </c>
      <c r="C92" s="1215" t="str">
        <f t="shared" si="91"/>
        <v>施工段階</v>
      </c>
      <c r="D92" s="1216">
        <f>IF(I$89=0,0,G92/I$89)</f>
        <v>0.33333333333333331</v>
      </c>
      <c r="E92" s="1216">
        <f t="shared" si="98"/>
        <v>0</v>
      </c>
      <c r="F92" s="1316"/>
      <c r="G92" s="1225">
        <f t="shared" si="81"/>
        <v>0.33333333333333331</v>
      </c>
      <c r="H92" s="1225">
        <f t="shared" si="97"/>
        <v>0</v>
      </c>
      <c r="I92" s="1225"/>
      <c r="J92" s="1225"/>
      <c r="K92" s="1225">
        <f>IF(スコア!M92=0,0,1)</f>
        <v>1</v>
      </c>
      <c r="L92" s="1225">
        <f>IF(スコア!R92=0,0,1)</f>
        <v>0</v>
      </c>
      <c r="M92" s="1225">
        <f t="shared" si="85"/>
        <v>0.33333333333333331</v>
      </c>
      <c r="N92" s="1225">
        <f t="shared" si="86"/>
        <v>0</v>
      </c>
      <c r="O92" s="1262"/>
      <c r="P92" s="1214">
        <f t="shared" si="87"/>
        <v>2.2999999999999998</v>
      </c>
      <c r="Q92" s="1214" t="str">
        <f t="shared" si="90"/>
        <v>2.2.2</v>
      </c>
      <c r="R92" s="1214" t="str">
        <f t="shared" si="93"/>
        <v>施工段階</v>
      </c>
      <c r="S92" s="1287">
        <f t="shared" si="95"/>
        <v>0.33333333333333331</v>
      </c>
      <c r="T92" s="1287"/>
      <c r="U92" s="1287"/>
      <c r="V92" s="1287"/>
      <c r="W92" s="1287"/>
      <c r="X92" s="1287"/>
      <c r="Y92" s="1287"/>
      <c r="Z92" s="1289"/>
      <c r="AA92" s="1287"/>
      <c r="AB92" s="1322"/>
      <c r="AC92" s="1323"/>
      <c r="AD92" s="1323"/>
      <c r="AE92" s="1269"/>
      <c r="AF92" s="1241">
        <v>2.2999999999999998</v>
      </c>
      <c r="AG92" s="1241" t="s">
        <v>872</v>
      </c>
      <c r="AH92" s="1215" t="s">
        <v>545</v>
      </c>
      <c r="AI92" s="1242">
        <v>0.33333333333333331</v>
      </c>
      <c r="AJ92" s="1235"/>
      <c r="AK92" s="1235"/>
      <c r="AL92" s="1235"/>
      <c r="AM92" s="1235"/>
      <c r="AN92" s="1235"/>
      <c r="AO92" s="1235"/>
      <c r="AP92" s="1272"/>
      <c r="AQ92" s="1235"/>
      <c r="AR92" s="1235"/>
      <c r="AS92" s="1235"/>
      <c r="AT92" s="1235"/>
      <c r="AU92" s="2621"/>
      <c r="AV92" s="1241">
        <v>2.2999999999999998</v>
      </c>
      <c r="AW92" s="1241" t="s">
        <v>872</v>
      </c>
      <c r="AX92" s="1215" t="s">
        <v>545</v>
      </c>
      <c r="AY92" s="1242">
        <v>0.33333333333333298</v>
      </c>
    </row>
    <row r="93" spans="2:51">
      <c r="B93" s="1211">
        <f t="shared" si="92"/>
        <v>3</v>
      </c>
      <c r="C93" s="1212" t="str">
        <f t="shared" si="91"/>
        <v>リサイクルの促進</v>
      </c>
      <c r="D93" s="1213">
        <f>IF(I$79=0,0,G93/I$79)</f>
        <v>0.10000000000000002</v>
      </c>
      <c r="E93" s="1213">
        <f>IF(J$79=0,0,H93/J$79)</f>
        <v>0</v>
      </c>
      <c r="F93" s="1279"/>
      <c r="G93" s="1218">
        <f t="shared" si="81"/>
        <v>0.1</v>
      </c>
      <c r="H93" s="1218">
        <f t="shared" si="97"/>
        <v>0</v>
      </c>
      <c r="I93" s="1218">
        <f>G94+G95</f>
        <v>1</v>
      </c>
      <c r="J93" s="1218">
        <f>H94+H95</f>
        <v>0</v>
      </c>
      <c r="K93" s="1218">
        <f>IF(スコア!M93=0,0,1)</f>
        <v>1</v>
      </c>
      <c r="L93" s="1218">
        <f>IF(スコア!R93=0,0,1)</f>
        <v>0</v>
      </c>
      <c r="M93" s="1218">
        <f t="shared" si="85"/>
        <v>0.1</v>
      </c>
      <c r="N93" s="1218">
        <f t="shared" si="86"/>
        <v>0</v>
      </c>
      <c r="O93" s="1280"/>
      <c r="P93" s="1211">
        <f t="shared" ref="P93:P104" si="99">IF($P$3=1,AF93,AV93)</f>
        <v>3</v>
      </c>
      <c r="Q93" s="1211" t="str">
        <f t="shared" ref="Q93:Q102" si="100">IF($P$3=1,AG93,AW93)</f>
        <v>2.2</v>
      </c>
      <c r="R93" s="1211" t="str">
        <f t="shared" si="93"/>
        <v>リサイクルの促進</v>
      </c>
      <c r="S93" s="1297">
        <f t="shared" si="95"/>
        <v>0.1</v>
      </c>
      <c r="T93" s="1297"/>
      <c r="U93" s="1297"/>
      <c r="V93" s="1297"/>
      <c r="W93" s="1297"/>
      <c r="X93" s="1297"/>
      <c r="Y93" s="1297"/>
      <c r="Z93" s="1285"/>
      <c r="AA93" s="1297"/>
      <c r="AB93" s="1320"/>
      <c r="AC93" s="1321"/>
      <c r="AD93" s="1321"/>
      <c r="AE93" s="1292"/>
      <c r="AF93" s="1239">
        <v>3</v>
      </c>
      <c r="AG93" s="1239" t="s">
        <v>561</v>
      </c>
      <c r="AH93" s="1212" t="s">
        <v>563</v>
      </c>
      <c r="AI93" s="1244">
        <v>0.1</v>
      </c>
      <c r="AJ93" s="1293"/>
      <c r="AK93" s="1293"/>
      <c r="AL93" s="1293"/>
      <c r="AM93" s="1293"/>
      <c r="AN93" s="1293"/>
      <c r="AO93" s="1293"/>
      <c r="AP93" s="1294"/>
      <c r="AQ93" s="1293"/>
      <c r="AR93" s="1293"/>
      <c r="AS93" s="1293"/>
      <c r="AT93" s="1293"/>
      <c r="AU93" s="1295"/>
      <c r="AV93" s="1239">
        <v>3</v>
      </c>
      <c r="AW93" s="1239" t="s">
        <v>561</v>
      </c>
      <c r="AX93" s="1212" t="s">
        <v>563</v>
      </c>
      <c r="AY93" s="1244">
        <v>0.1</v>
      </c>
    </row>
    <row r="94" spans="2:51">
      <c r="B94" s="1214">
        <f t="shared" si="92"/>
        <v>3.1</v>
      </c>
      <c r="C94" s="1214" t="str">
        <f t="shared" si="91"/>
        <v>使用材料の情報提供</v>
      </c>
      <c r="D94" s="1216">
        <f>IF(I$93=0,0,G94/I$93)</f>
        <v>1</v>
      </c>
      <c r="E94" s="1216">
        <f>IF(J$93=0,0,H94/J$93)</f>
        <v>0</v>
      </c>
      <c r="F94" s="681"/>
      <c r="G94" s="1225">
        <f t="shared" si="81"/>
        <v>1</v>
      </c>
      <c r="H94" s="1225">
        <f t="shared" si="97"/>
        <v>0</v>
      </c>
      <c r="I94" s="1225"/>
      <c r="J94" s="1225"/>
      <c r="K94" s="1225">
        <f>IF(スコア!M94=0,0,1)</f>
        <v>1</v>
      </c>
      <c r="L94" s="1225">
        <f>IF(スコア!R94=0,0,1)</f>
        <v>0</v>
      </c>
      <c r="M94" s="1225">
        <f t="shared" si="85"/>
        <v>1</v>
      </c>
      <c r="N94" s="1225">
        <f t="shared" si="86"/>
        <v>0</v>
      </c>
      <c r="O94" s="1262"/>
      <c r="P94" s="1214">
        <f t="shared" si="99"/>
        <v>3.1</v>
      </c>
      <c r="Q94" s="1214" t="str">
        <f t="shared" si="100"/>
        <v>2.2.3</v>
      </c>
      <c r="R94" s="1214" t="str">
        <f t="shared" si="93"/>
        <v>使用材料の情報提供</v>
      </c>
      <c r="S94" s="1287">
        <f t="shared" si="95"/>
        <v>1</v>
      </c>
      <c r="T94" s="1287"/>
      <c r="U94" s="1287"/>
      <c r="V94" s="1287"/>
      <c r="W94" s="1287"/>
      <c r="X94" s="1287"/>
      <c r="Y94" s="1287"/>
      <c r="Z94" s="1289"/>
      <c r="AA94" s="1287"/>
      <c r="AB94" s="1322"/>
      <c r="AC94" s="1323"/>
      <c r="AD94" s="1323"/>
      <c r="AE94" s="1269"/>
      <c r="AF94" s="1241">
        <v>3.1</v>
      </c>
      <c r="AG94" s="1241" t="s">
        <v>564</v>
      </c>
      <c r="AH94" s="1215" t="s">
        <v>546</v>
      </c>
      <c r="AI94" s="1242">
        <v>1</v>
      </c>
      <c r="AJ94" s="1235"/>
      <c r="AK94" s="1235"/>
      <c r="AL94" s="1235"/>
      <c r="AM94" s="1235"/>
      <c r="AN94" s="1235"/>
      <c r="AO94" s="1235"/>
      <c r="AP94" s="1272"/>
      <c r="AQ94" s="1235"/>
      <c r="AR94" s="1235"/>
      <c r="AS94" s="1235"/>
      <c r="AT94" s="1235"/>
      <c r="AU94" s="2621"/>
      <c r="AV94" s="1241">
        <v>3.1</v>
      </c>
      <c r="AW94" s="1241" t="s">
        <v>564</v>
      </c>
      <c r="AX94" s="1215" t="s">
        <v>546</v>
      </c>
      <c r="AY94" s="1242">
        <v>1</v>
      </c>
    </row>
    <row r="95" spans="2:51" ht="12.75" hidden="1" customHeight="1">
      <c r="B95" s="1214" t="str">
        <f t="shared" ref="B95" si="101">P95</f>
        <v>3.2</v>
      </c>
      <c r="C95" s="1214" t="str">
        <f>R95</f>
        <v>評価しない</v>
      </c>
      <c r="D95" s="1216">
        <f>IF(I$93=0,0,G95/I$93)</f>
        <v>0</v>
      </c>
      <c r="E95" s="1216">
        <f>IF(J$93=0,0,H95/J$93)</f>
        <v>0</v>
      </c>
      <c r="F95" s="681"/>
      <c r="G95" s="1225">
        <f t="shared" si="81"/>
        <v>0</v>
      </c>
      <c r="H95" s="1225">
        <f t="shared" si="97"/>
        <v>0</v>
      </c>
      <c r="I95" s="1225"/>
      <c r="J95" s="1225"/>
      <c r="K95" s="1225">
        <f>IF(スコア!M95=0,0,1)</f>
        <v>0</v>
      </c>
      <c r="L95" s="1225">
        <f>IF(スコア!R95=0,0,1)</f>
        <v>0</v>
      </c>
      <c r="M95" s="1225">
        <f t="shared" si="85"/>
        <v>0</v>
      </c>
      <c r="N95" s="1225">
        <f t="shared" si="86"/>
        <v>0</v>
      </c>
      <c r="O95" s="1262"/>
      <c r="P95" s="1214" t="str">
        <f>IF($P$3=1,AF95,AV95)</f>
        <v>3.2</v>
      </c>
      <c r="Q95" s="1214" t="str">
        <f>IF($P$3=1,AG95,AW95)</f>
        <v>2.2.3</v>
      </c>
      <c r="R95" s="1214" t="str">
        <f>IF($P$3=1,AH95,AX95)</f>
        <v>評価しない</v>
      </c>
      <c r="S95" s="1287">
        <f>IF($P$3=1,AI95,AY95)</f>
        <v>0</v>
      </c>
      <c r="T95" s="1287"/>
      <c r="U95" s="1287"/>
      <c r="V95" s="1287"/>
      <c r="W95" s="1287"/>
      <c r="X95" s="1287"/>
      <c r="Y95" s="1287"/>
      <c r="Z95" s="1289"/>
      <c r="AA95" s="1287"/>
      <c r="AB95" s="1322"/>
      <c r="AC95" s="1323"/>
      <c r="AD95" s="1323"/>
      <c r="AE95" s="1269"/>
      <c r="AF95" s="1241" t="s">
        <v>447</v>
      </c>
      <c r="AG95" s="1241" t="s">
        <v>564</v>
      </c>
      <c r="AH95" s="1215" t="s">
        <v>97</v>
      </c>
      <c r="AI95" s="1242"/>
      <c r="AJ95" s="1235"/>
      <c r="AK95" s="1235"/>
      <c r="AL95" s="1235"/>
      <c r="AM95" s="1235"/>
      <c r="AN95" s="1235"/>
      <c r="AO95" s="1235"/>
      <c r="AP95" s="1272"/>
      <c r="AQ95" s="1235"/>
      <c r="AR95" s="1235"/>
      <c r="AS95" s="1235"/>
      <c r="AT95" s="1235"/>
      <c r="AU95" s="2621"/>
      <c r="AV95" s="1241" t="s">
        <v>454</v>
      </c>
      <c r="AW95" s="1241" t="s">
        <v>564</v>
      </c>
      <c r="AX95" s="1215" t="s">
        <v>97</v>
      </c>
      <c r="AY95" s="1242"/>
    </row>
    <row r="96" spans="2:51" ht="15.6">
      <c r="B96" s="1208" t="s">
        <v>455</v>
      </c>
      <c r="C96" s="1209" t="str">
        <f t="shared" si="91"/>
        <v>地球・地域・周辺環境に配慮する</v>
      </c>
      <c r="D96" s="1219">
        <f>IF(I$67=0,0,G96/I$67)</f>
        <v>0.3</v>
      </c>
      <c r="E96" s="1219">
        <f>IF(J$67=0,0,H96/J$67)</f>
        <v>0</v>
      </c>
      <c r="F96" s="1296"/>
      <c r="G96" s="1224">
        <f t="shared" si="81"/>
        <v>0.3</v>
      </c>
      <c r="H96" s="1224">
        <f t="shared" si="97"/>
        <v>0</v>
      </c>
      <c r="I96" s="1224">
        <f>G97+G102+G99</f>
        <v>1</v>
      </c>
      <c r="J96" s="1224">
        <f>H103+H104+H100+H101</f>
        <v>0</v>
      </c>
      <c r="K96" s="1224">
        <f>IF(スコア!Q96=0,0,1)</f>
        <v>1</v>
      </c>
      <c r="L96" s="1224">
        <f>IF(スコア!R96=0,0,1)</f>
        <v>0</v>
      </c>
      <c r="M96" s="1224">
        <f t="shared" si="85"/>
        <v>0.3</v>
      </c>
      <c r="N96" s="1224">
        <f t="shared" si="86"/>
        <v>0</v>
      </c>
      <c r="O96" s="1280"/>
      <c r="P96" s="1209" t="str">
        <f t="shared" si="99"/>
        <v>LRH3</v>
      </c>
      <c r="Q96" s="1209" t="str">
        <f t="shared" si="100"/>
        <v>2</v>
      </c>
      <c r="R96" s="1281" t="str">
        <f t="shared" si="93"/>
        <v>地球・地域・周辺環境に配慮する</v>
      </c>
      <c r="S96" s="1282">
        <f t="shared" si="95"/>
        <v>0.3</v>
      </c>
      <c r="T96" s="1282"/>
      <c r="U96" s="1282"/>
      <c r="V96" s="1282"/>
      <c r="W96" s="1282"/>
      <c r="X96" s="1282"/>
      <c r="Y96" s="1282"/>
      <c r="Z96" s="1282"/>
      <c r="AA96" s="1282"/>
      <c r="AB96" s="1318"/>
      <c r="AC96" s="1319"/>
      <c r="AD96" s="1319"/>
      <c r="AE96" s="1292"/>
      <c r="AF96" s="1208" t="s">
        <v>455</v>
      </c>
      <c r="AG96" s="1249" t="s">
        <v>559</v>
      </c>
      <c r="AH96" s="1209" t="s">
        <v>214</v>
      </c>
      <c r="AI96" s="1238">
        <v>0.3</v>
      </c>
      <c r="AJ96" s="1293"/>
      <c r="AK96" s="1293"/>
      <c r="AL96" s="1293"/>
      <c r="AM96" s="1293"/>
      <c r="AN96" s="1293"/>
      <c r="AO96" s="1293"/>
      <c r="AP96" s="1294"/>
      <c r="AQ96" s="1293"/>
      <c r="AR96" s="1293"/>
      <c r="AS96" s="1293"/>
      <c r="AT96" s="1293"/>
      <c r="AU96" s="1295"/>
      <c r="AV96" s="1208" t="s">
        <v>455</v>
      </c>
      <c r="AW96" s="1249" t="s">
        <v>559</v>
      </c>
      <c r="AX96" s="1209" t="s">
        <v>214</v>
      </c>
      <c r="AY96" s="1238">
        <v>0.3</v>
      </c>
    </row>
    <row r="97" spans="2:51">
      <c r="B97" s="1211" t="str">
        <f t="shared" ref="B97:B104" si="102">P97</f>
        <v>1</v>
      </c>
      <c r="C97" s="1212" t="str">
        <f t="shared" si="91"/>
        <v>地球環境への配慮</v>
      </c>
      <c r="D97" s="1213">
        <f>IF(I$96=0,0,G97/I$96)</f>
        <v>0.33333333333333331</v>
      </c>
      <c r="E97" s="1213">
        <f>IF(J$96=0,0,H97/J$96)</f>
        <v>0</v>
      </c>
      <c r="F97" s="1279"/>
      <c r="G97" s="1218">
        <f>K97*((S$7*S97)+(T$7*T97)+(U$7*U97)+(V$7*V97)+(W$7*W97)+(X$7*X97)+(Y$7*Y97)+(Z$7*Z97)+(AA$7*AA97))</f>
        <v>0.33333333333333331</v>
      </c>
      <c r="H97" s="1218">
        <f t="shared" si="97"/>
        <v>0</v>
      </c>
      <c r="I97" s="1218">
        <f>G98</f>
        <v>1</v>
      </c>
      <c r="J97" s="1218">
        <f>H98</f>
        <v>0</v>
      </c>
      <c r="K97" s="1218">
        <f>IF(スコア!M97=0,0,1)</f>
        <v>1</v>
      </c>
      <c r="L97" s="1218">
        <f>IF(スコア!R97=0,0,1)</f>
        <v>0</v>
      </c>
      <c r="M97" s="1218">
        <f t="shared" si="85"/>
        <v>0.33333333333333331</v>
      </c>
      <c r="N97" s="1218">
        <f t="shared" si="86"/>
        <v>0</v>
      </c>
      <c r="O97" s="1280"/>
      <c r="P97" s="1313" t="str">
        <f t="shared" si="99"/>
        <v>1</v>
      </c>
      <c r="Q97" s="1313" t="str">
        <f t="shared" si="100"/>
        <v>2.3</v>
      </c>
      <c r="R97" s="1211" t="str">
        <f t="shared" si="93"/>
        <v>地球環境への配慮</v>
      </c>
      <c r="S97" s="1297">
        <f t="shared" si="95"/>
        <v>0.33333333333333331</v>
      </c>
      <c r="T97" s="1297"/>
      <c r="U97" s="1297"/>
      <c r="V97" s="1297"/>
      <c r="W97" s="1297"/>
      <c r="X97" s="1297"/>
      <c r="Y97" s="1297"/>
      <c r="Z97" s="1285"/>
      <c r="AA97" s="1297"/>
      <c r="AB97" s="1298"/>
      <c r="AC97" s="1297"/>
      <c r="AD97" s="1297"/>
      <c r="AE97" s="1292"/>
      <c r="AF97" s="1239" t="s">
        <v>456</v>
      </c>
      <c r="AG97" s="1239" t="s">
        <v>457</v>
      </c>
      <c r="AH97" s="1251" t="s">
        <v>576</v>
      </c>
      <c r="AI97" s="1244">
        <f>1/3</f>
        <v>0.33333333333333331</v>
      </c>
      <c r="AJ97" s="1293"/>
      <c r="AK97" s="1293"/>
      <c r="AL97" s="1293"/>
      <c r="AM97" s="1293"/>
      <c r="AN97" s="1293"/>
      <c r="AO97" s="1293"/>
      <c r="AP97" s="1294"/>
      <c r="AQ97" s="1293"/>
      <c r="AR97" s="1293"/>
      <c r="AS97" s="1293"/>
      <c r="AT97" s="1293"/>
      <c r="AU97" s="1295"/>
      <c r="AV97" s="1239" t="s">
        <v>456</v>
      </c>
      <c r="AW97" s="1239" t="s">
        <v>457</v>
      </c>
      <c r="AX97" s="1251" t="s">
        <v>576</v>
      </c>
      <c r="AY97" s="1244">
        <f>1/3</f>
        <v>0.33333333333333331</v>
      </c>
    </row>
    <row r="98" spans="2:51">
      <c r="B98" s="1214" t="str">
        <f t="shared" si="102"/>
        <v>1.1</v>
      </c>
      <c r="C98" s="1215" t="str">
        <f t="shared" si="91"/>
        <v>地球温暖化への配慮</v>
      </c>
      <c r="D98" s="1216">
        <f>IF(I$97=0,0,G98/I$97)</f>
        <v>1</v>
      </c>
      <c r="E98" s="1216">
        <f>IF(J$97=0,0,H98/J$97)</f>
        <v>0</v>
      </c>
      <c r="F98" s="681"/>
      <c r="G98" s="1225">
        <f>K98*((S$7*S98)+(T$7*T98)+(U$7*U98)+(V$7*V98)+(W$7*W98)+(X$7*X98)+(Y$7*Y98)+(Z$7*Z98)+(AA$7*AA98))</f>
        <v>1</v>
      </c>
      <c r="H98" s="1225">
        <f>L98*((AB$7*AB98)+(AC$7*AC98)+(AD$7*AD98))</f>
        <v>0</v>
      </c>
      <c r="I98" s="1225"/>
      <c r="J98" s="1225"/>
      <c r="K98" s="1225">
        <f>IF(スコア!M98=0,0,1)</f>
        <v>1</v>
      </c>
      <c r="L98" s="1225"/>
      <c r="M98" s="1225"/>
      <c r="N98" s="1225"/>
      <c r="O98" s="1262"/>
      <c r="P98" s="1314" t="str">
        <f t="shared" si="99"/>
        <v>1.1</v>
      </c>
      <c r="Q98" s="1314" t="str">
        <f t="shared" si="100"/>
        <v>2.3.1</v>
      </c>
      <c r="R98" s="1214" t="str">
        <f t="shared" si="93"/>
        <v>地球温暖化への配慮</v>
      </c>
      <c r="S98" s="1287">
        <f t="shared" si="95"/>
        <v>1</v>
      </c>
      <c r="T98" s="1287"/>
      <c r="U98" s="1287"/>
      <c r="V98" s="1287"/>
      <c r="W98" s="1287"/>
      <c r="X98" s="1287"/>
      <c r="Y98" s="1287"/>
      <c r="Z98" s="1289"/>
      <c r="AA98" s="1287"/>
      <c r="AB98" s="1288"/>
      <c r="AC98" s="1287"/>
      <c r="AD98" s="1287"/>
      <c r="AE98" s="1269"/>
      <c r="AF98" s="1241" t="s">
        <v>671</v>
      </c>
      <c r="AG98" s="1241" t="s">
        <v>672</v>
      </c>
      <c r="AH98" s="189" t="s">
        <v>261</v>
      </c>
      <c r="AI98" s="1242">
        <v>1</v>
      </c>
      <c r="AJ98" s="1235"/>
      <c r="AK98" s="1235"/>
      <c r="AL98" s="1235"/>
      <c r="AM98" s="1235"/>
      <c r="AN98" s="1235"/>
      <c r="AO98" s="1235"/>
      <c r="AP98" s="1272"/>
      <c r="AQ98" s="1235"/>
      <c r="AR98" s="1235"/>
      <c r="AS98" s="1235"/>
      <c r="AT98" s="1235"/>
      <c r="AU98" s="2621"/>
      <c r="AV98" s="1241" t="s">
        <v>671</v>
      </c>
      <c r="AW98" s="1241" t="s">
        <v>672</v>
      </c>
      <c r="AX98" s="189" t="s">
        <v>261</v>
      </c>
      <c r="AY98" s="1242">
        <v>1</v>
      </c>
    </row>
    <row r="99" spans="2:51">
      <c r="B99" s="1211" t="str">
        <f t="shared" si="102"/>
        <v>2</v>
      </c>
      <c r="C99" s="1212" t="str">
        <f t="shared" si="91"/>
        <v>地域環境への配慮</v>
      </c>
      <c r="D99" s="1213">
        <f>IF(I$96=0,0,G99/I$96)</f>
        <v>0.33333333333333331</v>
      </c>
      <c r="E99" s="1213">
        <f>IF(J$96=0,0,H99/J$96)</f>
        <v>0</v>
      </c>
      <c r="F99" s="1279"/>
      <c r="G99" s="1218">
        <f>K99*((S$7*S99)+(T$7*T99)+(U$7*U99)+(V$7*V99)+(W$7*W99)+(X$7*X99)+(Y$7*Y99)+(Z$7*Z99)+(AA$7*AA99))</f>
        <v>0.33333333333333331</v>
      </c>
      <c r="H99" s="1218">
        <f t="shared" ref="H99:H104" si="103">L99*((AB$7*AB99)+(AC$7*AC99)+(AD$7*AD99))</f>
        <v>0</v>
      </c>
      <c r="I99" s="1218">
        <f>G100+G101</f>
        <v>1</v>
      </c>
      <c r="J99" s="1218">
        <f>H100+H101</f>
        <v>0</v>
      </c>
      <c r="K99" s="1218">
        <f>IF(スコア!M98=0,0,1)</f>
        <v>1</v>
      </c>
      <c r="L99" s="1218">
        <f>IF(スコア!R98=0,0,1)</f>
        <v>0</v>
      </c>
      <c r="M99" s="1218">
        <f t="shared" si="85"/>
        <v>0.33333333333333331</v>
      </c>
      <c r="N99" s="1218">
        <f t="shared" si="86"/>
        <v>0</v>
      </c>
      <c r="O99" s="1280"/>
      <c r="P99" s="1211" t="str">
        <f t="shared" ref="P99:S101" si="104">IF($P$3=1,AF99,AV99)</f>
        <v>2</v>
      </c>
      <c r="Q99" s="1313" t="str">
        <f t="shared" si="104"/>
        <v>2.3</v>
      </c>
      <c r="R99" s="1211" t="str">
        <f t="shared" si="104"/>
        <v>地域環境への配慮</v>
      </c>
      <c r="S99" s="1297">
        <f t="shared" si="104"/>
        <v>0.33333333333333331</v>
      </c>
      <c r="T99" s="1284"/>
      <c r="U99" s="1284"/>
      <c r="V99" s="1284"/>
      <c r="W99" s="1284"/>
      <c r="X99" s="1284"/>
      <c r="Y99" s="1284"/>
      <c r="Z99" s="1300"/>
      <c r="AA99" s="1284"/>
      <c r="AB99" s="1286"/>
      <c r="AC99" s="1284"/>
      <c r="AD99" s="1284"/>
      <c r="AE99" s="1292"/>
      <c r="AF99" s="1239" t="s">
        <v>458</v>
      </c>
      <c r="AG99" s="1239" t="s">
        <v>457</v>
      </c>
      <c r="AH99" s="1252" t="s">
        <v>285</v>
      </c>
      <c r="AI99" s="1244">
        <f>1/3</f>
        <v>0.33333333333333331</v>
      </c>
      <c r="AJ99" s="1293"/>
      <c r="AK99" s="1293"/>
      <c r="AL99" s="1293"/>
      <c r="AM99" s="1293"/>
      <c r="AN99" s="1293"/>
      <c r="AO99" s="1293"/>
      <c r="AP99" s="1294"/>
      <c r="AQ99" s="1293"/>
      <c r="AR99" s="1293"/>
      <c r="AS99" s="1293"/>
      <c r="AT99" s="1293"/>
      <c r="AU99" s="1295"/>
      <c r="AV99" s="1239" t="s">
        <v>458</v>
      </c>
      <c r="AW99" s="1239" t="s">
        <v>459</v>
      </c>
      <c r="AX99" s="1252" t="s">
        <v>285</v>
      </c>
      <c r="AY99" s="1244">
        <f>1/3</f>
        <v>0.33333333333333331</v>
      </c>
    </row>
    <row r="100" spans="2:51">
      <c r="B100" s="1214" t="str">
        <f t="shared" si="102"/>
        <v>2.1</v>
      </c>
      <c r="C100" s="1215" t="str">
        <f t="shared" si="91"/>
        <v>地域インフラの負荷抑制</v>
      </c>
      <c r="D100" s="1216">
        <f>IF(I$99=0,0,G100/I$99)</f>
        <v>0.5</v>
      </c>
      <c r="E100" s="1216">
        <f>IF(J$99=0,0,H100/J$99)</f>
        <v>0</v>
      </c>
      <c r="F100" s="681"/>
      <c r="G100" s="1225">
        <f>K100*((S$7*S100)+(T$7*T100)+(U$7*U100)+(V$7*V100)+(W$7*W100)+(X$7*X100)+(Y$7*Y100)+(Z$7*Z100)+(AA$7*AA100))</f>
        <v>0.5</v>
      </c>
      <c r="H100" s="1225">
        <f t="shared" si="103"/>
        <v>0</v>
      </c>
      <c r="I100" s="1225"/>
      <c r="J100" s="1225"/>
      <c r="K100" s="1225">
        <f>IF(スコア!M99=0,0,1)</f>
        <v>1</v>
      </c>
      <c r="L100" s="1225">
        <f>IF(スコア!R99=0,0,1)</f>
        <v>0</v>
      </c>
      <c r="M100" s="1225">
        <f t="shared" si="85"/>
        <v>0.5</v>
      </c>
      <c r="N100" s="1225">
        <f t="shared" si="86"/>
        <v>0</v>
      </c>
      <c r="O100" s="1262"/>
      <c r="P100" s="1214" t="str">
        <f t="shared" si="104"/>
        <v>2.1</v>
      </c>
      <c r="Q100" s="1214" t="str">
        <f t="shared" si="104"/>
        <v>2.3.3</v>
      </c>
      <c r="R100" s="1214" t="str">
        <f t="shared" si="104"/>
        <v>地域インフラの負荷抑制</v>
      </c>
      <c r="S100" s="1307">
        <f t="shared" si="104"/>
        <v>0.5</v>
      </c>
      <c r="T100" s="1284"/>
      <c r="U100" s="1284"/>
      <c r="V100" s="1284"/>
      <c r="W100" s="1284"/>
      <c r="X100" s="1284"/>
      <c r="Y100" s="1284"/>
      <c r="Z100" s="1300"/>
      <c r="AA100" s="1284"/>
      <c r="AB100" s="1286"/>
      <c r="AC100" s="1284"/>
      <c r="AD100" s="1284"/>
      <c r="AE100" s="1269"/>
      <c r="AF100" s="1241" t="s">
        <v>460</v>
      </c>
      <c r="AG100" s="1241" t="s">
        <v>461</v>
      </c>
      <c r="AH100" s="1215" t="s">
        <v>462</v>
      </c>
      <c r="AI100" s="1242">
        <v>0.5</v>
      </c>
      <c r="AJ100" s="1235"/>
      <c r="AK100" s="1235"/>
      <c r="AL100" s="1235"/>
      <c r="AM100" s="1235"/>
      <c r="AN100" s="1235"/>
      <c r="AO100" s="1235"/>
      <c r="AP100" s="1272"/>
      <c r="AQ100" s="1235"/>
      <c r="AR100" s="1235"/>
      <c r="AS100" s="1235"/>
      <c r="AT100" s="1235"/>
      <c r="AU100" s="2621"/>
      <c r="AV100" s="1241" t="s">
        <v>460</v>
      </c>
      <c r="AW100" s="1241" t="s">
        <v>461</v>
      </c>
      <c r="AX100" s="1215" t="s">
        <v>462</v>
      </c>
      <c r="AY100" s="1242">
        <v>0.5</v>
      </c>
    </row>
    <row r="101" spans="2:51">
      <c r="B101" s="1214" t="str">
        <f t="shared" si="102"/>
        <v>2.2</v>
      </c>
      <c r="C101" s="1215" t="str">
        <f t="shared" si="91"/>
        <v>既存の自然環境の保全</v>
      </c>
      <c r="D101" s="1216">
        <f>IF(I$99=0,0,G101/I$99)</f>
        <v>0.5</v>
      </c>
      <c r="E101" s="1216">
        <f>IF(J$99=0,0,H101/J$99)</f>
        <v>0</v>
      </c>
      <c r="F101" s="681"/>
      <c r="G101" s="1225">
        <f>K101*((S$7*S101)+(T$7*T101)+(U$7*U101)+(V$7*V101)+(W$7*W101)+(X$7*X101)+(Y$7*Y101)+(Z$7*Z101)+(AA$7*AA101))</f>
        <v>0.5</v>
      </c>
      <c r="H101" s="1225">
        <f t="shared" si="103"/>
        <v>0</v>
      </c>
      <c r="I101" s="1225"/>
      <c r="J101" s="1225"/>
      <c r="K101" s="1225">
        <f>IF(スコア!M100=0,0,1)</f>
        <v>1</v>
      </c>
      <c r="L101" s="1225">
        <f>IF(スコア!R100=0,0,1)</f>
        <v>0</v>
      </c>
      <c r="M101" s="1225">
        <f t="shared" si="85"/>
        <v>0.5</v>
      </c>
      <c r="N101" s="1225">
        <f t="shared" si="86"/>
        <v>0</v>
      </c>
      <c r="O101" s="1262"/>
      <c r="P101" s="1314" t="str">
        <f t="shared" si="104"/>
        <v>2.2</v>
      </c>
      <c r="Q101" s="1214" t="str">
        <f t="shared" si="104"/>
        <v>2.3.3</v>
      </c>
      <c r="R101" s="1214" t="str">
        <f t="shared" si="104"/>
        <v>既存の自然環境の保全</v>
      </c>
      <c r="S101" s="1307">
        <f t="shared" si="104"/>
        <v>0.5</v>
      </c>
      <c r="T101" s="1284"/>
      <c r="U101" s="1284"/>
      <c r="V101" s="1284"/>
      <c r="W101" s="1284"/>
      <c r="X101" s="1284"/>
      <c r="Y101" s="1284"/>
      <c r="Z101" s="1300"/>
      <c r="AA101" s="1284"/>
      <c r="AB101" s="1286"/>
      <c r="AC101" s="1284"/>
      <c r="AD101" s="1284"/>
      <c r="AE101" s="1269"/>
      <c r="AF101" s="1241" t="s">
        <v>463</v>
      </c>
      <c r="AG101" s="1241" t="s">
        <v>461</v>
      </c>
      <c r="AH101" s="1215" t="s">
        <v>464</v>
      </c>
      <c r="AI101" s="1242">
        <v>0.5</v>
      </c>
      <c r="AJ101" s="1235"/>
      <c r="AK101" s="1235"/>
      <c r="AL101" s="1235"/>
      <c r="AM101" s="1235"/>
      <c r="AN101" s="1235"/>
      <c r="AO101" s="1235"/>
      <c r="AP101" s="1272"/>
      <c r="AQ101" s="1235"/>
      <c r="AR101" s="1235"/>
      <c r="AS101" s="1235"/>
      <c r="AT101" s="1235"/>
      <c r="AU101" s="2621"/>
      <c r="AV101" s="1241" t="s">
        <v>463</v>
      </c>
      <c r="AW101" s="1241" t="s">
        <v>461</v>
      </c>
      <c r="AX101" s="1215" t="s">
        <v>464</v>
      </c>
      <c r="AY101" s="1242">
        <v>0.5</v>
      </c>
    </row>
    <row r="102" spans="2:51">
      <c r="B102" s="1211" t="str">
        <f t="shared" si="102"/>
        <v>3</v>
      </c>
      <c r="C102" s="1212" t="str">
        <f t="shared" si="91"/>
        <v>周辺環境への配慮</v>
      </c>
      <c r="D102" s="1213">
        <f>IF(I$96=0,0,G102/I$96)</f>
        <v>0.33333333333333331</v>
      </c>
      <c r="E102" s="1213">
        <f>IF(J$96=0,0,H102/J$96)</f>
        <v>0</v>
      </c>
      <c r="F102" s="1279"/>
      <c r="G102" s="1218">
        <f t="shared" ref="G102:G104" si="105">K102*((S$7*S102)+(T$7*T102)+(U$7*U102)+(V$7*V102)+(W$7*W102)+(X$7*X102)+(Y$7*Y102)+(Z$7*Z102)+(AA$7*AA102))</f>
        <v>0.33333333333333331</v>
      </c>
      <c r="H102" s="1218">
        <f t="shared" si="103"/>
        <v>0</v>
      </c>
      <c r="I102" s="1218">
        <f>G103+G104</f>
        <v>1</v>
      </c>
      <c r="J102" s="1218">
        <f>H103+H104</f>
        <v>0</v>
      </c>
      <c r="K102" s="1218">
        <f>IF(スコア!M101=0,0,1)</f>
        <v>1</v>
      </c>
      <c r="L102" s="1218">
        <f>IF(スコア!R101=0,0,1)</f>
        <v>0</v>
      </c>
      <c r="M102" s="1218">
        <f t="shared" si="85"/>
        <v>0.33333333333333331</v>
      </c>
      <c r="N102" s="1218">
        <f t="shared" si="86"/>
        <v>0</v>
      </c>
      <c r="O102" s="1280"/>
      <c r="P102" s="1313" t="str">
        <f t="shared" si="99"/>
        <v>3</v>
      </c>
      <c r="Q102" s="1313" t="str">
        <f t="shared" si="100"/>
        <v>2.3</v>
      </c>
      <c r="R102" s="1211" t="str">
        <f t="shared" si="93"/>
        <v>周辺環境への配慮</v>
      </c>
      <c r="S102" s="1297">
        <f t="shared" si="95"/>
        <v>0.33333333333333331</v>
      </c>
      <c r="T102" s="1297"/>
      <c r="U102" s="1297"/>
      <c r="V102" s="1297"/>
      <c r="W102" s="1297"/>
      <c r="X102" s="1297"/>
      <c r="Y102" s="1297"/>
      <c r="Z102" s="1285"/>
      <c r="AA102" s="1297"/>
      <c r="AB102" s="1298"/>
      <c r="AC102" s="1297"/>
      <c r="AD102" s="1297"/>
      <c r="AE102" s="1292"/>
      <c r="AF102" s="1239" t="s">
        <v>465</v>
      </c>
      <c r="AG102" s="1239" t="s">
        <v>457</v>
      </c>
      <c r="AH102" s="1251" t="s">
        <v>702</v>
      </c>
      <c r="AI102" s="1244">
        <f>1/3</f>
        <v>0.33333333333333331</v>
      </c>
      <c r="AJ102" s="1293"/>
      <c r="AK102" s="1293"/>
      <c r="AL102" s="1293"/>
      <c r="AM102" s="1293"/>
      <c r="AN102" s="1293"/>
      <c r="AO102" s="1293"/>
      <c r="AP102" s="1294"/>
      <c r="AQ102" s="1293"/>
      <c r="AR102" s="1293"/>
      <c r="AS102" s="1293"/>
      <c r="AT102" s="1293"/>
      <c r="AU102" s="1295"/>
      <c r="AV102" s="1239" t="s">
        <v>465</v>
      </c>
      <c r="AW102" s="1239" t="s">
        <v>466</v>
      </c>
      <c r="AX102" s="1251" t="s">
        <v>702</v>
      </c>
      <c r="AY102" s="1244">
        <f>1/3</f>
        <v>0.33333333333333331</v>
      </c>
    </row>
    <row r="103" spans="2:51">
      <c r="B103" s="1214" t="str">
        <f t="shared" si="102"/>
        <v>3.1</v>
      </c>
      <c r="C103" s="1215" t="str">
        <f t="shared" si="91"/>
        <v>騒音・振動・排気・排熱の低減</v>
      </c>
      <c r="D103" s="1216">
        <f>IF(I$102=0,0,G103/I$102)</f>
        <v>0.5</v>
      </c>
      <c r="E103" s="1216">
        <f>IF(J$102=0,0,H103/J$102)</f>
        <v>0</v>
      </c>
      <c r="F103" s="681"/>
      <c r="G103" s="1225">
        <f t="shared" si="105"/>
        <v>0.5</v>
      </c>
      <c r="H103" s="1225">
        <f t="shared" si="103"/>
        <v>0</v>
      </c>
      <c r="I103" s="1225"/>
      <c r="J103" s="1225"/>
      <c r="K103" s="1225">
        <f>IF(スコア!M102=0,0,1)</f>
        <v>1</v>
      </c>
      <c r="L103" s="1225">
        <f>IF(スコア!R102=0,0,1)</f>
        <v>0</v>
      </c>
      <c r="M103" s="1225">
        <f t="shared" si="85"/>
        <v>0.5</v>
      </c>
      <c r="N103" s="1225">
        <f t="shared" si="86"/>
        <v>0</v>
      </c>
      <c r="O103" s="1262"/>
      <c r="P103" s="1314" t="str">
        <f t="shared" si="99"/>
        <v>3.1</v>
      </c>
      <c r="Q103" s="1314" t="str">
        <f>IF($P$3=1,AG103,AW103)</f>
        <v>2.3.2</v>
      </c>
      <c r="R103" s="1214" t="str">
        <f t="shared" si="93"/>
        <v>騒音・振動・排気・排熱の低減</v>
      </c>
      <c r="S103" s="1287">
        <f t="shared" si="95"/>
        <v>0.5</v>
      </c>
      <c r="T103" s="1297"/>
      <c r="U103" s="1297"/>
      <c r="V103" s="1297"/>
      <c r="W103" s="1297"/>
      <c r="X103" s="1297"/>
      <c r="Y103" s="1297"/>
      <c r="Z103" s="1285"/>
      <c r="AA103" s="1297"/>
      <c r="AB103" s="1298"/>
      <c r="AC103" s="1297"/>
      <c r="AD103" s="1297"/>
      <c r="AE103" s="1269"/>
      <c r="AF103" s="1241" t="s">
        <v>467</v>
      </c>
      <c r="AG103" s="1241" t="s">
        <v>468</v>
      </c>
      <c r="AH103" s="1215" t="s">
        <v>738</v>
      </c>
      <c r="AI103" s="1242">
        <v>0.5</v>
      </c>
      <c r="AJ103" s="1235"/>
      <c r="AK103" s="1235"/>
      <c r="AL103" s="1235"/>
      <c r="AM103" s="1235"/>
      <c r="AN103" s="1235"/>
      <c r="AO103" s="1235"/>
      <c r="AP103" s="1272"/>
      <c r="AQ103" s="1235"/>
      <c r="AR103" s="1235"/>
      <c r="AS103" s="1235"/>
      <c r="AT103" s="1235"/>
      <c r="AU103" s="2621"/>
      <c r="AV103" s="1241" t="s">
        <v>467</v>
      </c>
      <c r="AW103" s="1241" t="s">
        <v>468</v>
      </c>
      <c r="AX103" s="1215" t="s">
        <v>738</v>
      </c>
      <c r="AY103" s="1242">
        <v>0.5</v>
      </c>
    </row>
    <row r="104" spans="2:51" ht="12.75" customHeight="1">
      <c r="B104" s="1214" t="str">
        <f t="shared" si="102"/>
        <v>3.2</v>
      </c>
      <c r="C104" s="1215" t="str">
        <f t="shared" si="91"/>
        <v>周辺温熱環境の改善</v>
      </c>
      <c r="D104" s="1216">
        <f>IF(I$102=0,0,G104/I$102)</f>
        <v>0.5</v>
      </c>
      <c r="E104" s="1216">
        <f>IF(J$102=0,0,H104/J$102)</f>
        <v>0</v>
      </c>
      <c r="F104" s="681"/>
      <c r="G104" s="1225">
        <f t="shared" si="105"/>
        <v>0.5</v>
      </c>
      <c r="H104" s="1225">
        <f t="shared" si="103"/>
        <v>0</v>
      </c>
      <c r="I104" s="1225"/>
      <c r="J104" s="1225"/>
      <c r="K104" s="1225">
        <f>IF(スコア!M103=0,0,1)</f>
        <v>1</v>
      </c>
      <c r="L104" s="1225">
        <f>IF(スコア!R103=0,0,1)</f>
        <v>0</v>
      </c>
      <c r="M104" s="1225">
        <f t="shared" si="85"/>
        <v>0.5</v>
      </c>
      <c r="N104" s="1225">
        <f t="shared" si="86"/>
        <v>0</v>
      </c>
      <c r="O104" s="1262"/>
      <c r="P104" s="1214" t="str">
        <f t="shared" si="99"/>
        <v>3.2</v>
      </c>
      <c r="Q104" s="1214" t="str">
        <f>IF($P$3=1,AG104,AW104)</f>
        <v>2.3.2</v>
      </c>
      <c r="R104" s="1214" t="str">
        <f t="shared" si="93"/>
        <v>周辺温熱環境の改善</v>
      </c>
      <c r="S104" s="1307">
        <f t="shared" si="95"/>
        <v>0.5</v>
      </c>
      <c r="T104" s="1284"/>
      <c r="U104" s="1284"/>
      <c r="V104" s="1284"/>
      <c r="W104" s="1284"/>
      <c r="X104" s="1284"/>
      <c r="Y104" s="1284"/>
      <c r="Z104" s="1300"/>
      <c r="AA104" s="1284"/>
      <c r="AB104" s="1286"/>
      <c r="AC104" s="1284"/>
      <c r="AD104" s="1284"/>
      <c r="AE104" s="1269"/>
      <c r="AF104" s="1241" t="s">
        <v>447</v>
      </c>
      <c r="AG104" s="1241" t="s">
        <v>468</v>
      </c>
      <c r="AH104" s="1215" t="s">
        <v>76</v>
      </c>
      <c r="AI104" s="1242">
        <v>0.5</v>
      </c>
      <c r="AJ104" s="1235"/>
      <c r="AK104" s="1235"/>
      <c r="AL104" s="1235"/>
      <c r="AM104" s="1235"/>
      <c r="AN104" s="1235"/>
      <c r="AO104" s="1235"/>
      <c r="AP104" s="1272"/>
      <c r="AQ104" s="1235"/>
      <c r="AR104" s="1235"/>
      <c r="AS104" s="1235"/>
      <c r="AT104" s="1235"/>
      <c r="AU104" s="2621"/>
      <c r="AV104" s="1241" t="s">
        <v>469</v>
      </c>
      <c r="AW104" s="1241" t="s">
        <v>470</v>
      </c>
      <c r="AX104" s="1215" t="s">
        <v>76</v>
      </c>
      <c r="AY104" s="1242">
        <v>0.5</v>
      </c>
    </row>
    <row r="105" spans="2:51"/>
    <row r="106" spans="2:51" hidden="1">
      <c r="Q106" t="s">
        <v>817</v>
      </c>
      <c r="R106" t="s">
        <v>538</v>
      </c>
      <c r="S106">
        <f>採点LR2!G8</f>
        <v>1</v>
      </c>
    </row>
    <row r="107" spans="2:51" hidden="1">
      <c r="R107" t="s">
        <v>539</v>
      </c>
      <c r="S107">
        <f>採点LR2!H8</f>
        <v>0</v>
      </c>
    </row>
    <row r="108" spans="2:51" hidden="1">
      <c r="R108" t="s">
        <v>540</v>
      </c>
      <c r="S108">
        <f>採点LR2!I8</f>
        <v>0</v>
      </c>
    </row>
    <row r="109" spans="2:51"/>
    <row r="110" spans="2:51"/>
    <row r="111" spans="2:51"/>
    <row r="112" spans="2:51"/>
    <row r="113"/>
    <row r="114"/>
    <row r="115"/>
    <row r="116"/>
    <row r="117"/>
    <row r="118"/>
    <row r="119"/>
    <row r="120"/>
    <row r="121"/>
    <row r="122"/>
    <row r="123"/>
  </sheetData>
  <sheetProtection algorithmName="SHA-512" hashValue="q7QJvhVt+52R3hQxS+CbAindKcxni/zZOnfaHuMAohGJ1JafNXSj7MEDCBFjDkhE7kHZFzuRskeTNQraagk6gw==" saltValue="Ug2H8+53Ywd+M48vensJKw==" spinCount="100000" sheet="1" objects="1" scenarios="1"/>
  <mergeCells count="2">
    <mergeCell ref="B5:C6"/>
    <mergeCell ref="AR5:AT5"/>
  </mergeCells>
  <phoneticPr fontId="4"/>
  <printOptions horizontalCentered="1"/>
  <pageMargins left="0.78740157480314965" right="0.78740157480314965" top="0.78740157480314965" bottom="0.78740157480314965" header="0.51181102362204722" footer="0.51181102362204722"/>
  <pageSetup paperSize="9" scale="28" orientation="portrait" verticalDpi="4294967293" r:id="rId1"/>
  <headerFooter alignWithMargins="0">
    <oddHeader>&amp;L&amp;F&amp;R&amp;A</oddHeader>
    <oddFooter>&amp;C&amp;P/&amp;N</oddFooter>
  </headerFooter>
</worksheet>
</file>